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e4704bba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zierung" sheetId="1" r:id="Rf221a3e39c1d4d99"/>
    <x:sheet xmlns:r="http://schemas.openxmlformats.org/officeDocument/2006/relationships" name="Eingaben" sheetId="2" r:id="R54be6133a96b40ff"/>
    <x:sheet xmlns:r="http://schemas.openxmlformats.org/officeDocument/2006/relationships" name="Tilgungsplan" sheetId="3" r:id="R2ff3324811004062"/>
    <x:sheet xmlns:r="http://schemas.openxmlformats.org/officeDocument/2006/relationships" name="Hinweise" sheetId="4" r:id="R6989e8d26c8c4c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€&quot;;[Red](#,##0.00) &quot;€&quot;;0.00 &quot;€&quot;"/>
    <x:numFmt numFmtId="201" formatCode="0.00%"/>
    <x:numFmt numFmtId="202" formatCode="0"/>
    <x:numFmt numFmtId="203" formatCode="0.00 &quot;m²&quot;"/>
  </x:numFmts>
  <x:fonts count="8">
    <x:font>
      <x:sz val="11"/>
      <x:name val="Carlito"/>
    </x:font>
    <x:font>
      <x:sz val="11"/>
      <x:color rgb="FF262824"/>
      <x:name val="Arial"/>
    </x:font>
    <x:font>
      <x:b/>
      <x:sz val="22"/>
      <x:color rgb="FF86574F"/>
      <x:name val="Arial"/>
    </x:font>
    <x:font>
      <x:b/>
      <x:sz val="11"/>
      <x:color rgb="FF262824"/>
      <x:name val="Arial"/>
    </x:font>
    <x:font>
      <x:sz val="11"/>
      <x:color rgb="FF23528A"/>
      <x:name val="Arial"/>
    </x:font>
    <x:font>
      <x:sz val="10"/>
      <x:color rgb="FF262824"/>
      <x:name val="Arial"/>
    </x:font>
    <x:font>
      <x:b/>
      <x:sz val="15"/>
      <x:color rgb="FF262824"/>
      <x:name val="Arial"/>
    </x:font>
    <x:font>
      <x:b/>
      <x:sz val="10"/>
      <x:color rgb="FF26282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2E9DB"/>
      </x:patternFill>
    </x:fill>
    <x:fill>
      <x:patternFill patternType="solid">
        <x:fgColor rgb="FFE6EBD9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wrapText="1"/>
    </x:xf>
    <x:xf numFmtId="202" fontId="4" fillId="3" borderId="0" xfId="0" applyNumberFormat="1" applyFont="1" applyFill="1" applyBorder="1" applyAlignment="1">
      <x:alignment wrapText="1"/>
    </x:xf>
    <x:xf numFmtId="203" fontId="4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7" fillId="3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7ba2fa0b04796" /><Relationship Type="http://schemas.openxmlformats.org/officeDocument/2006/relationships/theme" Target="/xl/theme/theme1.xml" Id="Rd679a3aab4af4257" /><Relationship Type="http://schemas.openxmlformats.org/officeDocument/2006/relationships/sharedStrings" Target="/xl/sharedStrings.xml" Id="Read0374ee0844328" /><Relationship Type="http://schemas.openxmlformats.org/officeDocument/2006/relationships/worksheet" Target="/xl/worksheets/sheet1.xml" Id="Rf221a3e39c1d4d99" /><Relationship Type="http://schemas.openxmlformats.org/officeDocument/2006/relationships/worksheet" Target="/xl/worksheets/sheet2.xml" Id="R54be6133a96b40ff" /><Relationship Type="http://schemas.openxmlformats.org/officeDocument/2006/relationships/worksheet" Target="/xl/worksheets/sheet3.xml" Id="R2ff3324811004062" /><Relationship Type="http://schemas.openxmlformats.org/officeDocument/2006/relationships/worksheet" Target="/xl/worksheets/sheet4.xml" Id="R6989e8d26c8c4c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e99deead6654bd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6dee7990a06840e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2a3464ecaabd4d62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1095375" cy="876300"/>
    <xdr:pic>
      <xdr:nvPicPr>
        <xdr:cNvPr id="1" name="46d74150-62a4-4e2a-8ae9-a0b1970f6dc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99deead6654b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1095375" cy="876300"/>
    <xdr:pic>
      <xdr:nvPicPr>
        <xdr:cNvPr id="1" name="76df6f08-bd63-4d4f-95d9-26dbd04054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ee7990a06840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1095375" cy="876300"/>
    <xdr:pic>
      <xdr:nvPicPr>
        <xdr:cNvPr id="1" name="2bc54336-1048-4ba0-bdd7-966ac654ac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3464ecaabd4d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1b0a8f0f7c94ec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12dfd28940f43f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7fa893e7ba294dbf" /></Relationships>
</file>

<file path=xl/worksheets/sheet1.xml><?xml version="1.0" encoding="utf-8"?>
<x:worksheet xmlns:x="http://schemas.openxmlformats.org/spreadsheetml/2006/main">
  <x:sheetPr>
    <x:tabColor rgb="FF8657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1" hidden="0" customWidth="1"/>
    <x:col min="2" max="2" width="23" hidden="0" customWidth="1"/>
    <x:col min="3" max="3" width="58" hidden="0" customWidth="1"/>
  </x:cols>
  <x:sheetData>
    <x:row r="1" ht="29" customHeight="1">
      <x:c r="A1" s="3" t="str">
        <x:v>Finanzierungsbeispiel A1 · Basis</x:v>
      </x:c>
      <x:c r="B1" s="3"/>
      <x:c r="C1" s="2"/>
    </x:row>
    <x:row r="2" ht="29" customHeight="1">
      <x:c r="A2" s="3"/>
      <x:c r="B2" s="3"/>
      <x:c r="C2" s="2"/>
    </x:row>
    <x:row r="3" ht="29" customHeight="1">
      <x:c r="A3" s="2" t="str">
        <x:v>120.000 € Eigenmittel einschließlich 56.400 € Arbeitswert</x:v>
      </x:c>
      <x:c r="B3" s="2"/>
      <x:c r="C3" s="2"/>
    </x:row>
    <x:row r="4" ht="26" customHeight="1">
      <x:c r="A4" s="2" t="str">
        <x:v>Seeheim-Jugenheim · Haus A1 · Stand 26.09.2026</x:v>
      </x:c>
      <x:c r="B4" s="2"/>
      <x:c r="C4" s="2"/>
    </x:row>
    <x:row r="5" ht="30" customHeight="1">
      <x:c r="A5" s="5" t="str">
        <x:v>GELDBEDARF FÜR DEN ERWERB</x:v>
      </x:c>
      <x:c r="B5" s="5"/>
      <x:c r="C5" s="5"/>
    </x:row>
    <x:row r="6" ht="26" customHeight="1">
      <x:c r="A6" s="2" t="str">
        <x:v>Kaufpreis Basis</x:v>
      </x:c>
      <x:c r="B6" s="6" t="n">
        <x:f>Eingaben!B6</x:f>
        <x:v>789100</x:v>
      </x:c>
      <x:c r="C6" s="2" t="str">
        <x:v>Eigenleistung ist im Preis bereits herausgerechnet.</x:v>
      </x:c>
    </x:row>
    <x:row r="7" ht="26" customHeight="1">
      <x:c r="A7" s="2" t="str">
        <x:v>Grunderwerbsteuer</x:v>
      </x:c>
      <x:c r="B7" s="6" t="n">
        <x:f>B6*Eingaben!B7</x:f>
        <x:v>47346</x:v>
      </x:c>
      <x:c r="C7" s="2" t="str">
        <x:v>Rechenansatz 6 % gemäß Vorunterlage.</x:v>
      </x:c>
    </x:row>
    <x:row r="8" ht="26" customHeight="1">
      <x:c r="A8" s="2" t="str">
        <x:v>Notar / Grundbuch</x:v>
      </x:c>
      <x:c r="B8" s="6" t="n">
        <x:f>B6*Eingaben!B8</x:f>
        <x:v>15782</x:v>
      </x:c>
      <x:c r="C8" s="2" t="str">
        <x:v>Rechenansatz 2 % gemäß Vorunterlage.</x:v>
      </x:c>
    </x:row>
    <x:row r="9" ht="26" customHeight="1">
      <x:c r="A9" s="2" t="str">
        <x:v>Material für eigene Arbeiten</x:v>
      </x:c>
      <x:c r="B9" s="6" t="n">
        <x:f>Eingaben!B9</x:f>
        <x:v>32500</x:v>
      </x:c>
      <x:c r="C9" s="2" t="str">
        <x:v>Material bleibt zu bezahlen.</x:v>
      </x:c>
    </x:row>
    <x:row r="10" ht="26" customHeight="1">
      <x:c r="A10" s="14" t="str">
        <x:v>Geldbedarf insgesamt</x:v>
      </x:c>
      <x:c r="B10" s="15" t="n">
        <x:f>SUM(B6:B9)</x:f>
        <x:v>884728</x:v>
      </x:c>
      <x:c r="C10" s="12" t="str">
        <x:v>Ohne weitere, nicht erfasste Erwerbs-/Finanzierungskosten.</x:v>
      </x:c>
    </x:row>
    <x:row r="11" ht="30" customHeight="1">
      <x:c r="A11" s="5" t="str">
        <x:v>EIGENMITTEL RICHTIG EINORDNEN</x:v>
      </x:c>
      <x:c r="B11" s="5"/>
      <x:c r="C11" s="5"/>
    </x:row>
    <x:row r="12" ht="26" customHeight="1">
      <x:c r="A12" s="2" t="str">
        <x:v>Verfügbare Geldmittel</x:v>
      </x:c>
      <x:c r="B12" s="6" t="n">
        <x:f>Eingaben!B11</x:f>
        <x:v>63600</x:v>
      </x:c>
      <x:c r="C12" s="2" t="str">
        <x:v>63.600 € tatsächlich einsetzbares Geld.</x:v>
      </x:c>
    </x:row>
    <x:row r="13" ht="26" customHeight="1">
      <x:c r="A13" s="2" t="str">
        <x:v>Arbeitswert Eigenleistung – separat</x:v>
      </x:c>
      <x:c r="B13" s="6" t="n">
        <x:f>Eingaben!B10</x:f>
        <x:v>56400</x:v>
      </x:c>
      <x:c r="C13" s="2" t="str">
        <x:v>Kein weiterer Abzug vom Geldbedarf; keine Doppelzählung.</x:v>
      </x:c>
    </x:row>
    <x:row r="14" ht="26" customHeight="1">
      <x:c r="A14" s="2" t="str">
        <x:v>Geldmittel + Arbeitswert</x:v>
      </x:c>
      <x:c r="B14" s="6" t="n">
        <x:f>SUM(B12:B13)</x:f>
        <x:v>120000</x:v>
      </x:c>
      <x:c r="C14" s="2" t="str">
        <x:v>Anrechnung des Arbeitswerts durch die Bank zu prüfen.</x:v>
      </x:c>
    </x:row>
    <x:row r="15" ht="30" customHeight="1">
      <x:c r="A15" s="5" t="str">
        <x:v>AUFTEILUNG DER FINANZIERUNG</x:v>
      </x:c>
      <x:c r="B15" s="5"/>
      <x:c r="C15" s="5"/>
    </x:row>
    <x:row r="16" ht="26" customHeight="1">
      <x:c r="A16" s="14" t="str">
        <x:v>Finanzierungsbedarf</x:v>
      </x:c>
      <x:c r="B16" s="15" t="n">
        <x:f>B10-B12</x:f>
        <x:v>821128</x:v>
      </x:c>
      <x:c r="C16" s="12" t="str">
        <x:v>Geldbedarf abzüglich tatsächlich verfügbarer Geldmittel.</x:v>
      </x:c>
    </x:row>
    <x:row r="17" ht="26" customHeight="1">
      <x:c r="A17" s="2" t="str">
        <x:v>Davon KfW-Darlehen</x:v>
      </x:c>
      <x:c r="B17" s="6" t="n">
        <x:f>Eingaben!B14</x:f>
        <x:v>100000</x:v>
      </x:c>
      <x:c r="C17" s="2" t="str">
        <x:v>Beispielannahme, Förderfähigkeit noch zu prüfen.</x:v>
      </x:c>
    </x:row>
    <x:row r="18" ht="26" customHeight="1">
      <x:c r="A18" s="2" t="str">
        <x:v>Davon Bankdarlehen</x:v>
      </x:c>
      <x:c r="B18" s="6" t="n">
        <x:f>B16-B17</x:f>
        <x:v>721128</x:v>
      </x:c>
      <x:c r="C18" s="2" t="str">
        <x:v>Keine zweite Subtraktion der 56.400 € Eigenarbeit.</x:v>
      </x:c>
    </x:row>
    <x:row r="19" ht="26" customHeight="1">
      <x:c r="A19" s="2"/>
      <x:c r="B19" s="2"/>
      <x:c r="C19" s="2"/>
    </x:row>
    <x:row r="20" ht="30" customHeight="1">
      <x:c r="A20" s="5" t="str">
        <x:v>MONATLICHE RATEN</x:v>
      </x:c>
      <x:c r="B20" s="5"/>
      <x:c r="C20" s="5"/>
    </x:row>
    <x:row r="21" ht="26" customHeight="1">
      <x:c r="A21" s="2" t="str">
        <x:v>Bankrate pro Monat</x:v>
      </x:c>
      <x:c r="B21" s="6" t="n">
        <x:f>B18*(Eingaben!B19+Eingaben!B20)/12</x:f>
        <x:v>3004.7000000000003</x:v>
      </x:c>
      <x:c r="C21" s="2" t="str">
        <x:v>Anfangsannuität; Modell während der ersten 10 Jahre.</x:v>
      </x:c>
    </x:row>
    <x:row r="22" ht="26" customHeight="1">
      <x:c r="A22" s="2" t="str">
        <x:v>KfW-Rate pro Monat – Jahre 1 bis 5</x:v>
      </x:c>
      <x:c r="B22" s="6" t="n">
        <x:f>B17*Eingaben!B15/12</x:f>
        <x:v>182.5</x:v>
      </x:c>
      <x:c r="C22" s="2" t="str">
        <x:v>Tilgungsfreie Anlaufzeit; Zinszahlung.</x:v>
      </x:c>
    </x:row>
    <x:row r="23" ht="26" customHeight="1">
      <x:c r="A23" s="14" t="str">
        <x:v>Finanzierungsrate – Jahre 1 bis 5</x:v>
      </x:c>
      <x:c r="B23" s="15" t="n">
        <x:f>SUM(B21:B22)</x:f>
        <x:v>3187.2000000000003</x:v>
      </x:c>
      <x:c r="C23" s="12" t="str">
        <x:v>Rate ohne laufende Hauskosten.</x:v>
      </x:c>
    </x:row>
    <x:row r="24" ht="26" customHeight="1">
      <x:c r="A24" s="2"/>
      <x:c r="B24" s="2"/>
      <x:c r="C24" s="2"/>
    </x:row>
    <x:row r="25" ht="26" customHeight="1">
      <x:c r="A25" s="2" t="str">
        <x:v>KfW-Rate pro Monat – ab Jahr 6</x:v>
      </x:c>
      <x:c r="B25" s="6" t="n">
        <x:f>IF(Eingaben!B15=0,B17/((Eingaben!B16-Eingaben!B17)*12),B17*(Eingaben!B15/12)/(1-(1+Eingaben!B15/12)^(-((Eingaben!B16-Eingaben!B17)*12))))</x:f>
        <x:v>379.19298234971245</x:v>
      </x:c>
      <x:c r="C25" s="2" t="str">
        <x:v>Annuität für die verbleibenden 30 Jahre, nominal 2,19 %.</x:v>
      </x:c>
    </x:row>
    <x:row r="26" ht="26" customHeight="1">
      <x:c r="A26" s="14" t="str">
        <x:v>Finanzierungsrate – Jahre 6 bis 10</x:v>
      </x:c>
      <x:c r="B26" s="15" t="n">
        <x:f>B21+B25</x:f>
        <x:v>3383.892982349713</x:v>
      </x:c>
      <x:c r="C26" s="12" t="str">
        <x:v>Ab Jahr 11 abhängig vom noch unbekannten Anschlusszins.</x:v>
      </x:c>
    </x:row>
    <x:row r="27" ht="26" customHeight="1">
      <x:c r="A27" s="2"/>
      <x:c r="B27" s="2"/>
      <x:c r="C27" s="2"/>
    </x:row>
    <x:row r="28" ht="30" customHeight="1">
      <x:c r="A28" s="5" t="str">
        <x:v>WOHNKOSTEN – TEILBUDGET</x:v>
      </x:c>
      <x:c r="B28" s="5"/>
      <x:c r="C28" s="5"/>
    </x:row>
    <x:row r="29" ht="26" customHeight="1">
      <x:c r="A29" s="14" t="str">
        <x:v>Teilbudget pro Monat – Jahre 1 bis 5</x:v>
      </x:c>
      <x:c r="B29" s="15" t="n">
        <x:f>B23+Eingaben!B23</x:f>
        <x:v>3377.2000000000003</x:v>
      </x:c>
      <x:c r="C29" s="12" t="str">
        <x:v>Finanzierungsrate plus 190 € bisheriger Kostenansatz.</x:v>
      </x:c>
    </x:row>
    <x:row r="30" ht="26" customHeight="1">
      <x:c r="A30" s="14" t="str">
        <x:v>Teilbudget pro Monat – Jahre 6 bis 10</x:v>
      </x:c>
      <x:c r="B30" s="15" t="n">
        <x:f>B26+Eingaben!B23</x:f>
        <x:v>3573.892982349713</x:v>
      </x:c>
      <x:c r="C30" s="12" t="str">
        <x:v>Energie und Rücklage noch ergänzen.</x:v>
      </x:c>
    </x:row>
    <x:row r="31" ht="26" customHeight="1">
      <x:c r="A31" s="2" t="str">
        <x:v>Teilbudget Jahre 1 bis 5 je m²</x:v>
      </x:c>
      <x:c r="B31" s="6" t="n">
        <x:f>B29/Eingaben!B26</x:f>
        <x:v>23.678048096473397</x:v>
      </x:c>
      <x:c r="C31" s="2" t="str">
        <x:v>Kein vollständiger Warmmietvergleich.</x:v>
      </x:c>
    </x:row>
    <x:row r="32" ht="26" customHeight="1">
      <x:c r="A32" s="2"/>
      <x:c r="B32" s="2"/>
      <x:c r="C32" s="2"/>
    </x:row>
    <x:row r="33" ht="26" customHeight="1">
      <x:c r="A33" s="2" t="str">
        <x:v>Budget mit Zusatzansätzen – Jahre 1 bis 5</x:v>
      </x:c>
      <x:c r="B33" s="6" t="str">
        <x:f>IF(COUNT(Eingaben!B24:B25)=2,B29+SUM(Eingaben!B24:B25),"Ansätze ergänzen")</x:f>
        <x:v>Ansätze ergänzen</x:v>
      </x:c>
      <x:c r="C33" s="2" t="str">
        <x:v>Erst nach Eingabe beider Zusatzansätze berechnet.</x:v>
      </x:c>
    </x:row>
    <x:row r="34" ht="26" customHeight="1">
      <x:c r="A34" s="2" t="str">
        <x:v>Budget mit Zusatzansätzen – Jahre 6 bis 10</x:v>
      </x:c>
      <x:c r="B34" s="6" t="str">
        <x:f>IF(COUNT(Eingaben!B24:B25)=2,B30+SUM(Eingaben!B24:B25),"Ansätze ergänzen")</x:f>
        <x:v>Ansätze ergänzen</x:v>
      </x:c>
      <x:c r="C34" s="2" t="str">
        <x:v>Auch dann Vollständigkeit aller Kostenarten prüfen.</x:v>
      </x:c>
    </x:row>
    <x:row r="35" ht="26" customHeight="1">
      <x:c r="A35" s="2"/>
      <x:c r="B35" s="2"/>
      <x:c r="C35" s="2"/>
    </x:row>
    <x:row r="36" ht="30" customHeight="1">
      <x:c r="A36" s="5" t="str">
        <x:v>MIETVERGLEICH – ANNAHMEN</x:v>
      </x:c>
      <x:c r="B36" s="5"/>
      <x:c r="C36" s="5"/>
    </x:row>
    <x:row r="37" ht="26" customHeight="1">
      <x:c r="A37" s="2" t="str">
        <x:v>Altbau-Miete warm – Modell pro Monat</x:v>
      </x:c>
      <x:c r="B37" s="6" t="n">
        <x:f>Eingaben!B29*Eingaben!B26</x:f>
        <x:v>2852.6</x:v>
      </x:c>
      <x:c r="C37" s="2" t="str">
        <x:v>20 €/m² als reine Rechenannahme, kein Marktbeleg.</x:v>
      </x:c>
    </x:row>
    <x:row r="38" ht="26" customHeight="1">
      <x:c r="A38" s="2" t="str">
        <x:v>Altbau-Miete kalt – Modell pro Monat</x:v>
      </x:c>
      <x:c r="B38" s="6" t="n">
        <x:f>Eingaben!B30*Eingaben!B26</x:f>
        <x:v>2139.45</x:v>
      </x:c>
      <x:c r="C38" s="2" t="str">
        <x:v>15 €/m² als reine Rechenannahme, kein Marktbeleg.</x:v>
      </x:c>
    </x:row>
    <x:row r="39" ht="26" customHeight="1">
      <x:c r="A39" s="2"/>
      <x:c r="B39" s="2"/>
      <x:c r="C39" s="2"/>
    </x:row>
    <x:row r="40" ht="30" customHeight="1">
      <x:c r="A40" s="5" t="str">
        <x:v>BLICK AUF DIE ANSCHLUSSFINANZIERUNG</x:v>
      </x:c>
      <x:c r="B40" s="5"/>
      <x:c r="C40" s="5"/>
    </x:row>
    <x:row r="41" ht="26" customHeight="1">
      <x:c r="A41" s="2" t="str">
        <x:v>Restschuld Bank nach 10 Jahren</x:v>
      </x:c>
      <x:c r="B41" s="6" t="n">
        <x:f>Tilgungsplan!D126</x:f>
        <x:v>611963.4267267719</x:v>
      </x:c>
      <x:c r="C41" s="2" t="str">
        <x:v>Monatliche Zahlungen; ungerundete Zwischenwerte.</x:v>
      </x:c>
    </x:row>
    <x:row r="42" ht="26" customHeight="1">
      <x:c r="A42" s="2" t="str">
        <x:v>Restschuld KfW nach 10 Jahren</x:v>
      </x:c>
      <x:c r="B42" s="6" t="n">
        <x:f>Tilgungsplan!G126</x:f>
        <x:v>87540.04054536694</x:v>
      </x:c>
      <x:c r="C42" s="2" t="str">
        <x:v>Tilgung beginnt nach dem 60. Monat.</x:v>
      </x:c>
    </x:row>
    <x:row r="43" ht="26" customHeight="1">
      <x:c r="A43" s="14" t="str">
        <x:v>Restschuld gesamt nach 10 Jahren</x:v>
      </x:c>
      <x:c r="B43" s="15" t="n">
        <x:f>SUM(B41:B42)</x:f>
        <x:v>699503.4672721388</x:v>
      </x:c>
      <x:c r="C43" s="12" t="str">
        <x:v>Für eine Anschlussfinanzierung relevant.</x:v>
      </x:c>
    </x:row>
    <x:row r="44" ht="26" customHeight="1">
      <x:c r="A44" s="2"/>
      <x:c r="B44" s="2"/>
      <x:c r="C44" s="2"/>
    </x:row>
    <x:row r="45" ht="30" customHeight="1">
      <x:c r="A45" s="5" t="str">
        <x:v>WICHTIGE EINORDNUNG</x:v>
      </x:c>
      <x:c r="B45" s="5"/>
      <x:c r="C45" s="5"/>
    </x:row>
    <x:row r="46" ht="26" customHeight="1">
      <x:c r="A46" s="2" t="str">
        <x:v>Die Originalrechnung zog den Arbeitswert von 56.400 € ein zweites Mal vom Geldbedarf ab. Diese CI-Fassung korrigiert den Finanzierungsbedarf auf 821.128 €. Die Originaldatei bleibt unverändert. Die 190 € Nebenkosten sind ein unvollständig erläutertes Teilbudget; deshalb wird keine vollständige Warmbelastung zugesagt.</x:v>
      </x:c>
      <x:c r="B46" s="2"/>
      <x:c r="C46" s="2"/>
    </x:row>
    <x:row r="47" ht="26" customHeight="1">
      <x:c r="A47" s="2"/>
      <x:c r="B47" s="2"/>
      <x:c r="C47" s="2"/>
    </x:row>
    <x:row r="48" ht="26" customHeight="1">
      <x:c r="A48" s="2"/>
      <x:c r="B48" s="2"/>
      <x:c r="C48" s="2"/>
    </x:row>
    <x:row r="49" ht="26" customHeight="1">
      <x:c r="A49" s="2"/>
      <x:c r="B49" s="2"/>
      <x:c r="C49" s="2"/>
    </x:row>
    <x:row r="50" ht="26" customHeight="1">
      <x:c r="A50" s="2" t="str">
        <x:v>Projektadresse in Quellen uneinheitlich: Finanzierungs- und Flächenblatt Am Landbach 11, A1-Pläne Am Landbach 11 A. Vor Veröffentlichung bestätigen. Alle Modellbeträge auf Cent dargestellt; gerechnet wird mit ungerundeten Zwischenwerten.</x:v>
      </x:c>
      <x:c r="B50" s="2"/>
      <x:c r="C50" s="2"/>
    </x:row>
    <x:row r="51" ht="26" customHeight="1">
      <x:c r="A51" s="2"/>
      <x:c r="B51" s="2"/>
      <x:c r="C51" s="2"/>
    </x:row>
    <x:row r="52" ht="26" customHeight="1">
      <x:c r="A52" s="2"/>
      <x:c r="B52" s="2"/>
      <x:c r="C52" s="2"/>
    </x:row>
    <x:row r="53" ht="26" customHeight="1">
      <x:c r="A53" s="2"/>
      <x:c r="B53" s="2"/>
      <x:c r="C53" s="2"/>
    </x:row>
    <x:row r="54" ht="26" customHeight="1">
      <x:c r="A54" s="2"/>
      <x:c r="B54" s="2"/>
      <x:c r="C54" s="2"/>
    </x:row>
    <x:row r="55" ht="26" customHeight="1">
      <x:c r="A55" s="2"/>
      <x:c r="B55" s="2"/>
      <x:c r="C55" s="2"/>
    </x:row>
    <x:row r="56" ht="26" customHeight="1">
      <x:c r="A56" s="2"/>
      <x:c r="B56" s="2"/>
      <x:c r="C56" s="2"/>
    </x:row>
    <x:row r="57" ht="26" customHeight="1">
      <x:c r="A57" s="2"/>
      <x:c r="B57" s="2"/>
      <x:c r="C57" s="2"/>
    </x:row>
    <x:row r="58" ht="26" customHeight="1">
      <x:c r="A58" s="2"/>
      <x:c r="B58" s="2"/>
      <x:c r="C58" s="2"/>
    </x:row>
    <x:row r="59" ht="26" customHeight="1">
      <x:c r="A59" s="2"/>
      <x:c r="B59" s="2"/>
      <x:c r="C59" s="2"/>
    </x:row>
    <x:row r="60" ht="26" customHeight="1">
      <x:c r="A60" s="2"/>
      <x:c r="B60" s="2"/>
      <x:c r="C60" s="2"/>
    </x:row>
    <x:row r="61" ht="26" customHeight="1">
      <x:c r="A61" s="2"/>
      <x:c r="B61" s="2"/>
      <x:c r="C61" s="2"/>
    </x:row>
    <x:row r="62" ht="26" customHeight="1">
      <x:c r="A62" s="2"/>
      <x:c r="B62" s="2"/>
      <x:c r="C62" s="2"/>
    </x:row>
    <x:row r="63" ht="26" customHeight="1">
      <x:c r="A63" s="2"/>
      <x:c r="B63" s="2"/>
      <x:c r="C63" s="2"/>
    </x:row>
    <x:row r="64" ht="26" customHeight="1">
      <x:c r="A64" s="2"/>
      <x:c r="B64" s="2"/>
      <x:c r="C64" s="2"/>
    </x:row>
    <x:row r="65" ht="26" customHeight="1">
      <x:c r="A65" s="2"/>
      <x:c r="B65" s="2"/>
      <x:c r="C65" s="2"/>
    </x:row>
  </x:sheetData>
  <x:mergeCells>
    <x:mergeCell ref="A1:B2"/>
    <x:mergeCell ref="A3:B3"/>
    <x:mergeCell ref="A4:B4"/>
    <x:mergeCell ref="A5:C5"/>
    <x:mergeCell ref="A11:C11"/>
    <x:mergeCell ref="A15:C15"/>
    <x:mergeCell ref="A20:C20"/>
    <x:mergeCell ref="A28:C28"/>
    <x:mergeCell ref="A36:C36"/>
    <x:mergeCell ref="A40:C40"/>
    <x:mergeCell ref="A45:C45"/>
    <x:mergeCell ref="A46:C48"/>
    <x:mergeCell ref="A50:C51"/>
  </x:mergeCells>
  <x:pageMargins left="0.7" right="0.7" top="0.75" bottom="0.75" header="0.3" footer="0.3"/>
  <x:drawing xmlns:r="http://schemas.openxmlformats.org/officeDocument/2006/relationships" r:id="Re1b0a8f0f7c94ec6"/>
</x:worksheet>
</file>

<file path=xl/worksheets/sheet2.xml><?xml version="1.0" encoding="utf-8"?>
<x:worksheet xmlns:x="http://schemas.openxmlformats.org/spreadsheetml/2006/main">
  <x:sheetPr>
    <x:tabColor rgb="FF8657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1" hidden="0" customWidth="1"/>
    <x:col min="2" max="2" width="23" hidden="0" customWidth="1"/>
    <x:col min="3" max="3" width="58" hidden="0" customWidth="1"/>
  </x:cols>
  <x:sheetData>
    <x:row r="1" ht="29" customHeight="1">
      <x:c r="A1" s="3" t="str">
        <x:v>Eingaben zum Finanzierungsbeispiel</x:v>
      </x:c>
      <x:c r="B1" s="3"/>
      <x:c r="C1" s="2"/>
    </x:row>
    <x:row r="2" ht="29" customHeight="1">
      <x:c r="A2" s="3"/>
      <x:c r="B2" s="3"/>
      <x:c r="C2" s="2"/>
    </x:row>
    <x:row r="3" ht="29" customHeight="1">
      <x:c r="A3" s="2" t="str">
        <x:v>Blaue Werte sind änderbare Modellannahmen.</x:v>
      </x:c>
      <x:c r="B3" s="2"/>
      <x:c r="C3" s="2"/>
    </x:row>
    <x:row r="4" ht="26" customHeight="1">
      <x:c r="A4" s="2" t="str">
        <x:v>Seeheim-Jugenheim · Haus A1 · Stand 26.09.2026</x:v>
      </x:c>
      <x:c r="B4" s="2"/>
      <x:c r="C4" s="2"/>
    </x:row>
    <x:row r="5" ht="30" customHeight="1">
      <x:c r="A5" s="5" t="str">
        <x:v>KAUFPREIS UND EIGENMITTEL</x:v>
      </x:c>
      <x:c r="B5" s="5"/>
      <x:c r="C5" s="5"/>
    </x:row>
    <x:row r="6" ht="26" customHeight="1">
      <x:c r="A6" s="2" t="str">
        <x:v>Kaufpreis Basis A1</x:v>
      </x:c>
      <x:c r="B6" s="8" t="n">
        <x:v>789100</x:v>
      </x:c>
      <x:c r="C6" s="2" t="str">
        <x:v>Preis aus Leistungsstufenblatt; je Doppelhaushälfte.</x:v>
      </x:c>
    </x:row>
    <x:row r="7" ht="26" customHeight="1">
      <x:c r="A7" s="2" t="str">
        <x:v>Grunderwerbsteuer – Rechenannahme</x:v>
      </x:c>
      <x:c r="B7" s="9" t="n">
        <x:v>0.06</x:v>
      </x:c>
      <x:c r="C7" s="2" t="str">
        <x:v>Ansatz aus Originaldatei. Bemessung im Einzelfall prüfen.</x:v>
      </x:c>
    </x:row>
    <x:row r="8" ht="26" customHeight="1">
      <x:c r="A8" s="2" t="str">
        <x:v>Notar / Grundbuch – Rechenannahme</x:v>
      </x:c>
      <x:c r="B8" s="9" t="n">
        <x:v>0.02</x:v>
      </x:c>
      <x:c r="C8" s="2" t="str">
        <x:v>Originalansatz: 1,5 % + 0,5 %; keine Gebührenberechnung.</x:v>
      </x:c>
    </x:row>
    <x:row r="9" ht="26" customHeight="1">
      <x:c r="A9" s="2" t="str">
        <x:v>Material für Eigenleistungen</x:v>
      </x:c>
      <x:c r="B9" s="8" t="n">
        <x:v>32500</x:v>
      </x:c>
      <x:c r="C9" s="2" t="str">
        <x:v>Zusätzlicher Geldbedarf; gemäß 7 Gewerken.</x:v>
      </x:c>
    </x:row>
    <x:row r="10" ht="26" customHeight="1">
      <x:c r="A10" s="2" t="str">
        <x:v>Wert der eigenen Arbeitsleistung</x:v>
      </x:c>
      <x:c r="B10" s="8" t="n">
        <x:v>56400</x:v>
      </x:c>
      <x:c r="C10" s="2" t="str">
        <x:v>Kein Geldzufluss; im Basis-Kaufpreis schon nicht enthalten.</x:v>
      </x:c>
    </x:row>
    <x:row r="11" ht="26" customHeight="1">
      <x:c r="A11" s="2" t="str">
        <x:v>Verfügbare Geldmittel</x:v>
      </x:c>
      <x:c r="B11" s="8" t="n">
        <x:v>63600</x:v>
      </x:c>
      <x:c r="C11" s="2" t="str">
        <x:v>Original: 63.128 € für Nebenkosten + 472 € zusätzlich.</x:v>
      </x:c>
    </x:row>
    <x:row r="12" ht="26" customHeight="1">
      <x:c r="A12" s="2"/>
      <x:c r="B12" s="2"/>
      <x:c r="C12" s="2"/>
    </x:row>
    <x:row r="13" ht="30" customHeight="1">
      <x:c r="A13" s="5" t="str">
        <x:v>KREDITANNAHMEN – KEIN FINANZIERUNGSANGEBOT</x:v>
      </x:c>
      <x:c r="B13" s="5"/>
      <x:c r="C13" s="5"/>
    </x:row>
    <x:row r="14" ht="26" customHeight="1">
      <x:c r="A14" s="2" t="str">
        <x:v>KfW-Darlehen</x:v>
      </x:c>
      <x:c r="B14" s="8" t="n">
        <x:v>100000</x:v>
      </x:c>
      <x:c r="C14" s="2" t="str">
        <x:v>Beispiel 297/298; Förderfähigkeit und Mittelverfügbarkeit prüfen.</x:v>
      </x:c>
    </x:row>
    <x:row r="15" ht="26" customHeight="1">
      <x:c r="A15" s="2" t="str">
        <x:v>KfW nominaler Sollzins p. a.</x:v>
      </x:c>
      <x:c r="B15" s="9" t="n">
        <x:v>0.0219</x:v>
      </x:c>
      <x:c r="C15" s="2" t="str">
        <x:v>Übernommene Beispielannahme, kein aktuelles Zinsangebot.</x:v>
      </x:c>
    </x:row>
    <x:row r="16" ht="26" customHeight="1">
      <x:c r="A16" s="2" t="str">
        <x:v>KfW Gesamtlaufzeit in Jahren</x:v>
      </x:c>
      <x:c r="B16" s="10" t="n">
        <x:v>35</x:v>
      </x:c>
      <x:c r="C16" s="2" t="str">
        <x:v>Davon tilgungsfreie Anlaufzeit gemäß nächster Zeile.</x:v>
      </x:c>
    </x:row>
    <x:row r="17" ht="26" customHeight="1">
      <x:c r="A17" s="2" t="str">
        <x:v>KfW tilgungsfreie Jahre</x:v>
      </x:c>
      <x:c r="B17" s="10" t="n">
        <x:v>5</x:v>
      </x:c>
      <x:c r="C17" s="2" t="str">
        <x:v>In dieser Phase werden nur Zinsen gezahlt.</x:v>
      </x:c>
    </x:row>
    <x:row r="18" ht="26" customHeight="1">
      <x:c r="A18" s="2" t="str">
        <x:v>Betrachtungszeitraum / Zinsbindung in Jahren</x:v>
      </x:c>
      <x:c r="B18" s="10" t="n">
        <x:v>10</x:v>
      </x:c>
      <x:c r="C18" s="2" t="str">
        <x:v>Danach ist der Anschlusszins offen.</x:v>
      </x:c>
    </x:row>
    <x:row r="19" ht="26" customHeight="1">
      <x:c r="A19" s="2" t="str">
        <x:v>Bank nominaler Sollzins p. a.</x:v>
      </x:c>
      <x:c r="B19" s="9" t="n">
        <x:v>0.0375</x:v>
      </x:c>
      <x:c r="C19" s="2" t="str">
        <x:v>Beispielannahme, kein aktuelles Zinsangebot.</x:v>
      </x:c>
    </x:row>
    <x:row r="20" ht="26" customHeight="1">
      <x:c r="A20" s="2" t="str">
        <x:v>Bank anfängliche Tilgung p. a.</x:v>
      </x:c>
      <x:c r="B20" s="9" t="n">
        <x:v>0.0125</x:v>
      </x:c>
      <x:c r="C20" s="2" t="str">
        <x:v>Zusammen mit Sollzins ergibt sich die Anfangsannuität.</x:v>
      </x:c>
    </x:row>
    <x:row r="21" ht="26" customHeight="1">
      <x:c r="A21" s="2"/>
      <x:c r="B21" s="2"/>
      <x:c r="C21" s="2"/>
    </x:row>
    <x:row r="22" ht="30" customHeight="1">
      <x:c r="A22" s="5" t="str">
        <x:v>LAUFENDE KOSTEN UND WOHNFLÄCHE</x:v>
      </x:c>
      <x:c r="B22" s="5"/>
      <x:c r="C22" s="5"/>
    </x:row>
    <x:row r="23" ht="26" customHeight="1">
      <x:c r="A23" s="2" t="str">
        <x:v>Bisheriger Nebenkostenansatz pro Monat</x:v>
      </x:c>
      <x:c r="B23" s="8" t="n">
        <x:v>190</x:v>
      </x:c>
      <x:c r="C23" s="2" t="str">
        <x:v>Aus Original; Zusammensetzung und Vollständigkeit offen.</x:v>
      </x:c>
    </x:row>
    <x:row r="24" ht="26" customHeight="1">
      <x:c r="A24" s="2" t="str">
        <x:v>Zusätzlicher Energie-/Stromansatz pro Monat</x:v>
      </x:c>
      <x:c r="B24" s="8"/>
      <x:c r="C24" s="2" t="str">
        <x:v>Bitte eingeben, auch wenn der begründete Ansatz 0 € ist.</x:v>
      </x:c>
    </x:row>
    <x:row r="25" ht="26" customHeight="1">
      <x:c r="A25" s="2" t="str">
        <x:v>Zusätzliche Instandhaltungsreserve pro Monat</x:v>
      </x:c>
      <x:c r="B25" s="8"/>
      <x:c r="C25" s="2" t="str">
        <x:v>Bitte eingeben. Nicht pauschal als entfallend behandeln.</x:v>
      </x:c>
    </x:row>
    <x:row r="26" ht="26" customHeight="1">
      <x:c r="A26" s="2" t="str">
        <x:v>Wohnfläche A1 in m²</x:v>
      </x:c>
      <x:c r="B26" s="11" t="n">
        <x:v>142.63</x:v>
      </x:c>
      <x:c r="C26" s="2" t="str">
        <x:v>Flächenberechnung 11.08.2026; Original gerundet 143 m².</x:v>
      </x:c>
    </x:row>
    <x:row r="27" ht="26" customHeight="1">
      <x:c r="A27" s="2"/>
      <x:c r="B27" s="2"/>
      <x:c r="C27" s="2"/>
    </x:row>
    <x:row r="28" ht="30" customHeight="1">
      <x:c r="A28" s="5" t="str">
        <x:v>MIETVERGLEICH AUS DER VORUNTERLAGE</x:v>
      </x:c>
      <x:c r="B28" s="5"/>
      <x:c r="C28" s="5"/>
    </x:row>
    <x:row r="29" ht="26" customHeight="1">
      <x:c r="A29" s="2" t="str">
        <x:v>Vergleichsmiete Altbau warm je m²</x:v>
      </x:c>
      <x:c r="B29" s="8" t="n">
        <x:v>20</x:v>
      </x:c>
      <x:c r="C29" s="2" t="str">
        <x:v>Unbelegte Beispielannahme der Vorunterlage.</x:v>
      </x:c>
    </x:row>
    <x:row r="30" ht="26" customHeight="1">
      <x:c r="A30" s="2" t="str">
        <x:v>Vergleichsmiete Altbau kalt je m²</x:v>
      </x:c>
      <x:c r="B30" s="8" t="n">
        <x:v>15</x:v>
      </x:c>
      <x:c r="C30" s="2" t="str">
        <x:v>Unbelegte Beispielannahme der Vorunterlage.</x:v>
      </x:c>
    </x:row>
    <x:row r="31" ht="26" customHeight="1">
      <x:c r="A31" s="2"/>
      <x:c r="B31" s="2"/>
      <x:c r="C31" s="2"/>
    </x:row>
    <x:row r="32" ht="26" customHeight="1">
      <x:c r="A32" s="2"/>
      <x:c r="B32" s="2"/>
      <x:c r="C32" s="2"/>
    </x:row>
    <x:row r="33" ht="26" customHeight="1">
      <x:c r="A33" s="2"/>
      <x:c r="B33" s="2"/>
      <x:c r="C33" s="2"/>
    </x:row>
    <x:row r="34" ht="26" customHeight="1">
      <x:c r="A34" s="2"/>
      <x:c r="B34" s="2"/>
      <x:c r="C34" s="2"/>
    </x:row>
    <x:row r="35" ht="26" customHeight="1">
      <x:c r="A35" s="2"/>
      <x:c r="B35" s="2"/>
      <x:c r="C35" s="2"/>
    </x:row>
    <x:row r="36" ht="26" customHeight="1">
      <x:c r="A36" s="2"/>
      <x:c r="B36" s="2"/>
      <x:c r="C36" s="2"/>
    </x:row>
    <x:row r="37" ht="26" customHeight="1">
      <x:c r="A37" s="2"/>
      <x:c r="B37" s="2"/>
      <x:c r="C37" s="2"/>
    </x:row>
    <x:row r="38" ht="26" customHeight="1">
      <x:c r="A38" s="2"/>
      <x:c r="B38" s="2"/>
      <x:c r="C38" s="2"/>
    </x:row>
    <x:row r="39" ht="26" customHeight="1">
      <x:c r="A39" s="2"/>
      <x:c r="B39" s="2"/>
      <x:c r="C39" s="2"/>
    </x:row>
    <x:row r="40" ht="26" customHeight="1">
      <x:c r="A40" s="2"/>
      <x:c r="B40" s="2"/>
      <x:c r="C40" s="2"/>
    </x:row>
    <x:row r="41" ht="26" customHeight="1">
      <x:c r="A41" s="2"/>
      <x:c r="B41" s="2"/>
      <x:c r="C41" s="2"/>
    </x:row>
    <x:row r="42" ht="26" customHeight="1">
      <x:c r="A42" s="2"/>
      <x:c r="B42" s="2"/>
      <x:c r="C42" s="2"/>
    </x:row>
    <x:row r="43" ht="26" customHeight="1">
      <x:c r="A43" s="2"/>
      <x:c r="B43" s="2"/>
      <x:c r="C43" s="2"/>
    </x:row>
    <x:row r="44" ht="26" customHeight="1">
      <x:c r="A44" s="2"/>
      <x:c r="B44" s="2"/>
      <x:c r="C44" s="2"/>
    </x:row>
    <x:row r="45" ht="26" customHeight="1">
      <x:c r="A45" s="2"/>
      <x:c r="B45" s="2"/>
      <x:c r="C45" s="2"/>
    </x:row>
    <x:row r="46" ht="26" customHeight="1">
      <x:c r="A46" s="2"/>
      <x:c r="B46" s="2"/>
      <x:c r="C46" s="2"/>
    </x:row>
    <x:row r="47" ht="26" customHeight="1">
      <x:c r="A47" s="2"/>
      <x:c r="B47" s="2"/>
      <x:c r="C47" s="2"/>
    </x:row>
    <x:row r="48" ht="26" customHeight="1">
      <x:c r="A48" s="2"/>
      <x:c r="B48" s="2"/>
      <x:c r="C48" s="2"/>
    </x:row>
    <x:row r="49" ht="26" customHeight="1">
      <x:c r="A49" s="2"/>
      <x:c r="B49" s="2"/>
      <x:c r="C49" s="2"/>
    </x:row>
    <x:row r="50" ht="26" customHeight="1">
      <x:c r="A50" s="2"/>
      <x:c r="B50" s="2"/>
      <x:c r="C50" s="2"/>
    </x:row>
    <x:row r="51" ht="26" customHeight="1">
      <x:c r="A51" s="2"/>
      <x:c r="B51" s="2"/>
      <x:c r="C51" s="2"/>
    </x:row>
    <x:row r="52" ht="26" customHeight="1">
      <x:c r="A52" s="2"/>
      <x:c r="B52" s="2"/>
      <x:c r="C52" s="2"/>
    </x:row>
    <x:row r="53" ht="26" customHeight="1">
      <x:c r="A53" s="2"/>
      <x:c r="B53" s="2"/>
      <x:c r="C53" s="2"/>
    </x:row>
    <x:row r="54" ht="26" customHeight="1">
      <x:c r="A54" s="2"/>
      <x:c r="B54" s="2"/>
      <x:c r="C54" s="2"/>
    </x:row>
    <x:row r="55" ht="26" customHeight="1">
      <x:c r="A55" s="2"/>
      <x:c r="B55" s="2"/>
      <x:c r="C55" s="2"/>
    </x:row>
    <x:row r="56" ht="26" customHeight="1">
      <x:c r="A56" s="2"/>
      <x:c r="B56" s="2"/>
      <x:c r="C56" s="2"/>
    </x:row>
    <x:row r="57" ht="26" customHeight="1">
      <x:c r="A57" s="2"/>
      <x:c r="B57" s="2"/>
      <x:c r="C57" s="2"/>
    </x:row>
    <x:row r="58" ht="26" customHeight="1">
      <x:c r="A58" s="2"/>
      <x:c r="B58" s="2"/>
      <x:c r="C58" s="2"/>
    </x:row>
    <x:row r="59" ht="26" customHeight="1">
      <x:c r="A59" s="2"/>
      <x:c r="B59" s="2"/>
      <x:c r="C59" s="2"/>
    </x:row>
    <x:row r="60" ht="26" customHeight="1">
      <x:c r="A60" s="2"/>
      <x:c r="B60" s="2"/>
      <x:c r="C60" s="2"/>
    </x:row>
    <x:row r="61" ht="26" customHeight="1">
      <x:c r="A61" s="2"/>
      <x:c r="B61" s="2"/>
      <x:c r="C61" s="2"/>
    </x:row>
    <x:row r="62" ht="26" customHeight="1">
      <x:c r="A62" s="2"/>
      <x:c r="B62" s="2"/>
      <x:c r="C62" s="2"/>
    </x:row>
    <x:row r="63" ht="26" customHeight="1">
      <x:c r="A63" s="2"/>
      <x:c r="B63" s="2"/>
      <x:c r="C63" s="2"/>
    </x:row>
    <x:row r="64" ht="26" customHeight="1">
      <x:c r="A64" s="2"/>
      <x:c r="B64" s="2"/>
      <x:c r="C64" s="2"/>
    </x:row>
    <x:row r="65" ht="26" customHeight="1">
      <x:c r="A65" s="2"/>
      <x:c r="B65" s="2"/>
      <x:c r="C65" s="2"/>
    </x:row>
  </x:sheetData>
  <x:mergeCells>
    <x:mergeCell ref="A1:B2"/>
    <x:mergeCell ref="A3:B3"/>
    <x:mergeCell ref="A4:B4"/>
    <x:mergeCell ref="A5:C5"/>
    <x:mergeCell ref="A13:C13"/>
    <x:mergeCell ref="A22:C22"/>
    <x:mergeCell ref="A28:C28"/>
  </x:mergeCells>
  <x:pageMargins left="0.7" right="0.7" top="0.75" bottom="0.75" header="0.3" footer="0.3"/>
  <x:drawing xmlns:r="http://schemas.openxmlformats.org/officeDocument/2006/relationships" r:id="R412dfd28940f43f4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</x:cols>
  <x:sheetData>
    <x:row r="1" ht="23" customHeight="1">
      <x:c r="A1" s="18" t="str">
        <x:v>Tilgungsplan · erste 10 Jahre · monatlich, ungerundete Berechnung</x:v>
      </x:c>
      <x:c r="B1" s="18"/>
      <x:c r="C1" s="18"/>
      <x:c r="D1" s="18"/>
      <x:c r="E1" s="18"/>
      <x:c r="F1" s="18"/>
      <x:c r="G1" s="18"/>
    </x:row>
    <x:row r="2" ht="23" customHeight="1">
      <x:c r="A2" s="18"/>
      <x:c r="B2" s="18"/>
      <x:c r="C2" s="18"/>
      <x:c r="D2" s="18"/>
      <x:c r="E2" s="18"/>
      <x:c r="F2" s="18"/>
      <x:c r="G2" s="18"/>
    </x:row>
    <x:row r="3" ht="23" customHeight="1">
      <x:c r="A3" s="19" t="str">
        <x:v>Beispiel mit konstanten Sollzinsen während des Betrachtungszeitraums. Nach der Zinsbindung sind Anschlusskonditionen offen. Positive Zins- und Zahlungsbeträge.</x:v>
      </x:c>
      <x:c r="B3" s="19"/>
      <x:c r="C3" s="19"/>
      <x:c r="D3" s="19"/>
      <x:c r="E3" s="19"/>
      <x:c r="F3" s="19"/>
      <x:c r="G3" s="19"/>
    </x:row>
    <x:row r="4" ht="23" customHeight="1">
      <x:c r="A4" s="19"/>
      <x:c r="B4" s="19"/>
      <x:c r="C4" s="19"/>
      <x:c r="D4" s="19"/>
      <x:c r="E4" s="19"/>
      <x:c r="F4" s="19"/>
      <x:c r="G4" s="19"/>
    </x:row>
    <x:row r="5" ht="23" customHeight="1">
      <x:c r="A5" s="16"/>
      <x:c r="B5" s="16"/>
      <x:c r="C5" s="16"/>
      <x:c r="D5" s="16"/>
      <x:c r="E5" s="16"/>
      <x:c r="F5" s="16"/>
      <x:c r="G5" s="16"/>
    </x:row>
    <x:row r="6" ht="23" customHeight="1">
      <x:c r="A6" s="21" t="str">
        <x:v>Monat</x:v>
      </x:c>
      <x:c r="B6" s="21" t="str">
        <x:v>Bank Zinsen</x:v>
      </x:c>
      <x:c r="C6" s="21" t="str">
        <x:v>Bank Zahlung</x:v>
      </x:c>
      <x:c r="D6" s="21" t="str">
        <x:v>Bank Restschuld</x:v>
      </x:c>
      <x:c r="E6" s="21" t="str">
        <x:v>KfW Zinsen</x:v>
      </x:c>
      <x:c r="F6" s="21" t="str">
        <x:v>KfW Zahlung</x:v>
      </x:c>
      <x:c r="G6" s="21" t="str">
        <x:v>KfW Restschuld</x:v>
      </x:c>
    </x:row>
    <x:row r="7" ht="23" customHeight="1">
      <x:c r="A7" s="16" t="n">
        <x:f>1</x:f>
        <x:v>1</x:v>
      </x:c>
      <x:c r="B7" s="22" t="n">
        <x:f>Finanzierung!B18*Eingaben!B19/12</x:f>
        <x:v>2253.525</x:v>
      </x:c>
      <x:c r="C7" s="22" t="n">
        <x:f>MIN(Finanzierung!B18+B7,Finanzierung!B21)</x:f>
        <x:v>3004.7000000000003</x:v>
      </x:c>
      <x:c r="D7" s="22" t="n">
        <x:f>MAX(0,Finanzierung!B18+B7-C7)</x:f>
        <x:v>720376.8250000001</x:v>
      </x:c>
      <x:c r="E7" s="22" t="n">
        <x:f>Finanzierung!B17*Eingaben!B15/12</x:f>
        <x:v>182.5</x:v>
      </x:c>
      <x:c r="F7" s="22" t="n">
        <x:f>IF(A7&lt;=Eingaben!B17*12,E7,MIN(Finanzierung!B17+E7,Finanzierung!B25))</x:f>
        <x:v>182.5</x:v>
      </x:c>
      <x:c r="G7" s="22" t="n">
        <x:f>MAX(0,Finanzierung!B17+E7-F7)</x:f>
        <x:v>100000</x:v>
      </x:c>
    </x:row>
    <x:row r="8" ht="23" customHeight="1">
      <x:c r="A8" s="16" t="n">
        <x:f>2</x:f>
        <x:v>2</x:v>
      </x:c>
      <x:c r="B8" s="22" t="n">
        <x:f>D7*Eingaben!B19/12</x:f>
        <x:v>2251.1775781250003</x:v>
      </x:c>
      <x:c r="C8" s="22" t="n">
        <x:f>MIN(D7+B8,Finanzierung!B21)</x:f>
        <x:v>3004.7000000000003</x:v>
      </x:c>
      <x:c r="D8" s="22" t="n">
        <x:f>MAX(0,D7+B8-C8)</x:f>
        <x:v>719623.3025781251</x:v>
      </x:c>
      <x:c r="E8" s="22" t="n">
        <x:f>G7*Eingaben!B15/12</x:f>
        <x:v>182.5</x:v>
      </x:c>
      <x:c r="F8" s="22" t="n">
        <x:f>IF(A8&lt;=Eingaben!B17*12,E8,MIN(G7+E8,Finanzierung!B25))</x:f>
        <x:v>182.5</x:v>
      </x:c>
      <x:c r="G8" s="22" t="n">
        <x:f>MAX(0,G7+E8-F8)</x:f>
        <x:v>100000</x:v>
      </x:c>
    </x:row>
    <x:row r="9" ht="23" customHeight="1">
      <x:c r="A9" s="16" t="n">
        <x:f>3</x:f>
        <x:v>3</x:v>
      </x:c>
      <x:c r="B9" s="22" t="n">
        <x:f>D8*Eingaben!B19/12</x:f>
        <x:v>2248.822820556641</x:v>
      </x:c>
      <x:c r="C9" s="22" t="n">
        <x:f>MIN(D8+B9,Finanzierung!B21)</x:f>
        <x:v>3004.7000000000003</x:v>
      </x:c>
      <x:c r="D9" s="22" t="n">
        <x:f>MAX(0,D8+B9-C9)</x:f>
        <x:v>718867.4253986818</x:v>
      </x:c>
      <x:c r="E9" s="22" t="n">
        <x:f>G8*Eingaben!B15/12</x:f>
        <x:v>182.5</x:v>
      </x:c>
      <x:c r="F9" s="22" t="n">
        <x:f>IF(A9&lt;=Eingaben!B17*12,E9,MIN(G8+E9,Finanzierung!B25))</x:f>
        <x:v>182.5</x:v>
      </x:c>
      <x:c r="G9" s="22" t="n">
        <x:f>MAX(0,G8+E9-F9)</x:f>
        <x:v>100000</x:v>
      </x:c>
    </x:row>
    <x:row r="10" ht="23" customHeight="1">
      <x:c r="A10" s="16" t="n">
        <x:f>4</x:f>
        <x:v>4</x:v>
      </x:c>
      <x:c r="B10" s="22" t="n">
        <x:f>D9*Eingaben!B19/12</x:f>
        <x:v>2246.4607043708806</x:v>
      </x:c>
      <x:c r="C10" s="22" t="n">
        <x:f>MIN(D9+B10,Finanzierung!B21)</x:f>
        <x:v>3004.7000000000003</x:v>
      </x:c>
      <x:c r="D10" s="22" t="n">
        <x:f>MAX(0,D9+B10-C10)</x:f>
        <x:v>718109.1861030527</x:v>
      </x:c>
      <x:c r="E10" s="22" t="n">
        <x:f>G9*Eingaben!B15/12</x:f>
        <x:v>182.5</x:v>
      </x:c>
      <x:c r="F10" s="22" t="n">
        <x:f>IF(A10&lt;=Eingaben!B17*12,E10,MIN(G9+E10,Finanzierung!B25))</x:f>
        <x:v>182.5</x:v>
      </x:c>
      <x:c r="G10" s="22" t="n">
        <x:f>MAX(0,G9+E10-F10)</x:f>
        <x:v>100000</x:v>
      </x:c>
    </x:row>
    <x:row r="11" ht="23" customHeight="1">
      <x:c r="A11" s="16" t="n">
        <x:f>5</x:f>
        <x:v>5</x:v>
      </x:c>
      <x:c r="B11" s="22" t="n">
        <x:f>D10*Eingaben!B19/12</x:f>
        <x:v>2244.0912065720395</x:v>
      </x:c>
      <x:c r="C11" s="22" t="n">
        <x:f>MIN(D10+B11,Finanzierung!B21)</x:f>
        <x:v>3004.7000000000003</x:v>
      </x:c>
      <x:c r="D11" s="22" t="n">
        <x:f>MAX(0,D10+B11-C11)</x:f>
        <x:v>717348.5773096248</x:v>
      </x:c>
      <x:c r="E11" s="22" t="n">
        <x:f>G10*Eingaben!B15/12</x:f>
        <x:v>182.5</x:v>
      </x:c>
      <x:c r="F11" s="22" t="n">
        <x:f>IF(A11&lt;=Eingaben!B17*12,E11,MIN(G10+E11,Finanzierung!B25))</x:f>
        <x:v>182.5</x:v>
      </x:c>
      <x:c r="G11" s="22" t="n">
        <x:f>MAX(0,G10+E11-F11)</x:f>
        <x:v>100000</x:v>
      </x:c>
    </x:row>
    <x:row r="12" ht="23" customHeight="1">
      <x:c r="A12" s="16" t="n">
        <x:f>6</x:f>
        <x:v>6</x:v>
      </x:c>
      <x:c r="B12" s="22" t="n">
        <x:f>D11*Eingaben!B19/12</x:f>
        <x:v>2241.714304092577</x:v>
      </x:c>
      <x:c r="C12" s="22" t="n">
        <x:f>MIN(D11+B12,Finanzierung!B21)</x:f>
        <x:v>3004.7000000000003</x:v>
      </x:c>
      <x:c r="D12" s="22" t="n">
        <x:f>MAX(0,D11+B12-C12)</x:f>
        <x:v>716585.5916137174</x:v>
      </x:c>
      <x:c r="E12" s="22" t="n">
        <x:f>G11*Eingaben!B15/12</x:f>
        <x:v>182.5</x:v>
      </x:c>
      <x:c r="F12" s="22" t="n">
        <x:f>IF(A12&lt;=Eingaben!B17*12,E12,MIN(G11+E12,Finanzierung!B25))</x:f>
        <x:v>182.5</x:v>
      </x:c>
      <x:c r="G12" s="22" t="n">
        <x:f>MAX(0,G11+E12-F12)</x:f>
        <x:v>100000</x:v>
      </x:c>
    </x:row>
    <x:row r="13" ht="23" customHeight="1">
      <x:c r="A13" s="16" t="n">
        <x:f>7</x:f>
        <x:v>7</x:v>
      </x:c>
      <x:c r="B13" s="22" t="n">
        <x:f>D12*Eingaben!B19/12</x:f>
        <x:v>2239.329973792867</x:v>
      </x:c>
      <x:c r="C13" s="22" t="n">
        <x:f>MIN(D12+B13,Finanzierung!B21)</x:f>
        <x:v>3004.7000000000003</x:v>
      </x:c>
      <x:c r="D13" s="22" t="n">
        <x:f>MAX(0,D12+B13-C13)</x:f>
        <x:v>715820.2215875103</x:v>
      </x:c>
      <x:c r="E13" s="22" t="n">
        <x:f>G12*Eingaben!B15/12</x:f>
        <x:v>182.5</x:v>
      </x:c>
      <x:c r="F13" s="22" t="n">
        <x:f>IF(A13&lt;=Eingaben!B17*12,E13,MIN(G12+E13,Finanzierung!B25))</x:f>
        <x:v>182.5</x:v>
      </x:c>
      <x:c r="G13" s="22" t="n">
        <x:f>MAX(0,G12+E13-F13)</x:f>
        <x:v>100000</x:v>
      </x:c>
    </x:row>
    <x:row r="14" ht="23" customHeight="1">
      <x:c r="A14" s="16" t="n">
        <x:f>8</x:f>
        <x:v>8</x:v>
      </x:c>
      <x:c r="B14" s="22" t="n">
        <x:f>D13*Eingaben!B19/12</x:f>
        <x:v>2236.9381924609697</x:v>
      </x:c>
      <x:c r="C14" s="22" t="n">
        <x:f>MIN(D13+B14,Finanzierung!B21)</x:f>
        <x:v>3004.7000000000003</x:v>
      </x:c>
      <x:c r="D14" s="22" t="n">
        <x:f>MAX(0,D13+B14-C14)</x:f>
        <x:v>715052.4597799713</x:v>
      </x:c>
      <x:c r="E14" s="22" t="n">
        <x:f>G13*Eingaben!B15/12</x:f>
        <x:v>182.5</x:v>
      </x:c>
      <x:c r="F14" s="22" t="n">
        <x:f>IF(A14&lt;=Eingaben!B17*12,E14,MIN(G13+E14,Finanzierung!B25))</x:f>
        <x:v>182.5</x:v>
      </x:c>
      <x:c r="G14" s="22" t="n">
        <x:f>MAX(0,G13+E14-F14)</x:f>
        <x:v>100000</x:v>
      </x:c>
    </x:row>
    <x:row r="15" ht="23" customHeight="1">
      <x:c r="A15" s="16" t="n">
        <x:f>9</x:f>
        <x:v>9</x:v>
      </x:c>
      <x:c r="B15" s="22" t="n">
        <x:f>D14*Eingaben!B19/12</x:f>
        <x:v>2234.53893681241</x:v>
      </x:c>
      <x:c r="C15" s="22" t="n">
        <x:f>MIN(D14+B15,Finanzierung!B21)</x:f>
        <x:v>3004.7000000000003</x:v>
      </x:c>
      <x:c r="D15" s="22" t="n">
        <x:f>MAX(0,D14+B15-C15)</x:f>
        <x:v>714282.2987167838</x:v>
      </x:c>
      <x:c r="E15" s="22" t="n">
        <x:f>G14*Eingaben!B15/12</x:f>
        <x:v>182.5</x:v>
      </x:c>
      <x:c r="F15" s="22" t="n">
        <x:f>IF(A15&lt;=Eingaben!B17*12,E15,MIN(G14+E15,Finanzierung!B25))</x:f>
        <x:v>182.5</x:v>
      </x:c>
      <x:c r="G15" s="22" t="n">
        <x:f>MAX(0,G14+E15-F15)</x:f>
        <x:v>100000</x:v>
      </x:c>
    </x:row>
    <x:row r="16" ht="23" customHeight="1">
      <x:c r="A16" s="16" t="n">
        <x:f>10</x:f>
        <x:v>10</x:v>
      </x:c>
      <x:c r="B16" s="22" t="n">
        <x:f>D15*Eingaben!B19/12</x:f>
        <x:v>2232.132183489949</x:v>
      </x:c>
      <x:c r="C16" s="22" t="n">
        <x:f>MIN(D15+B16,Finanzierung!B21)</x:f>
        <x:v>3004.7000000000003</x:v>
      </x:c>
      <x:c r="D16" s="22" t="n">
        <x:f>MAX(0,D15+B16-C16)</x:f>
        <x:v>713509.7309002738</x:v>
      </x:c>
      <x:c r="E16" s="22" t="n">
        <x:f>G15*Eingaben!B15/12</x:f>
        <x:v>182.5</x:v>
      </x:c>
      <x:c r="F16" s="22" t="n">
        <x:f>IF(A16&lt;=Eingaben!B17*12,E16,MIN(G15+E16,Finanzierung!B25))</x:f>
        <x:v>182.5</x:v>
      </x:c>
      <x:c r="G16" s="22" t="n">
        <x:f>MAX(0,G15+E16-F16)</x:f>
        <x:v>100000</x:v>
      </x:c>
    </x:row>
    <x:row r="17" ht="23" customHeight="1">
      <x:c r="A17" s="16" t="n">
        <x:f>11</x:f>
        <x:v>11</x:v>
      </x:c>
      <x:c r="B17" s="22" t="n">
        <x:f>D16*Eingaben!B19/12</x:f>
        <x:v>2229.7179090633554</x:v>
      </x:c>
      <x:c r="C17" s="22" t="n">
        <x:f>MIN(D16+B17,Finanzierung!B21)</x:f>
        <x:v>3004.7000000000003</x:v>
      </x:c>
      <x:c r="D17" s="22" t="n">
        <x:f>MAX(0,D16+B17-C17)</x:f>
        <x:v>712734.7488093372</x:v>
      </x:c>
      <x:c r="E17" s="22" t="n">
        <x:f>G16*Eingaben!B15/12</x:f>
        <x:v>182.5</x:v>
      </x:c>
      <x:c r="F17" s="22" t="n">
        <x:f>IF(A17&lt;=Eingaben!B17*12,E17,MIN(G16+E17,Finanzierung!B25))</x:f>
        <x:v>182.5</x:v>
      </x:c>
      <x:c r="G17" s="22" t="n">
        <x:f>MAX(0,G16+E17-F17)</x:f>
        <x:v>100000</x:v>
      </x:c>
    </x:row>
    <x:row r="18" ht="23" customHeight="1">
      <x:c r="A18" s="16" t="n">
        <x:f>12</x:f>
        <x:v>12</x:v>
      </x:c>
      <x:c r="B18" s="22" t="n">
        <x:f>D17*Eingaben!B19/12</x:f>
        <x:v>2227.2960900291787</x:v>
      </x:c>
      <x:c r="C18" s="22" t="n">
        <x:f>MIN(D17+B18,Finanzierung!B21)</x:f>
        <x:v>3004.7000000000003</x:v>
      </x:c>
      <x:c r="D18" s="22" t="n">
        <x:f>MAX(0,D17+B18-C18)</x:f>
        <x:v>711957.3448993664</x:v>
      </x:c>
      <x:c r="E18" s="22" t="n">
        <x:f>G17*Eingaben!B15/12</x:f>
        <x:v>182.5</x:v>
      </x:c>
      <x:c r="F18" s="22" t="n">
        <x:f>IF(A18&lt;=Eingaben!B17*12,E18,MIN(G17+E18,Finanzierung!B25))</x:f>
        <x:v>182.5</x:v>
      </x:c>
      <x:c r="G18" s="22" t="n">
        <x:f>MAX(0,G17+E18-F18)</x:f>
        <x:v>100000</x:v>
      </x:c>
    </x:row>
    <x:row r="19" ht="23" customHeight="1">
      <x:c r="A19" s="16" t="n">
        <x:f>13</x:f>
        <x:v>13</x:v>
      </x:c>
      <x:c r="B19" s="22" t="n">
        <x:f>D18*Eingaben!B19/12</x:f>
        <x:v>2224.8667028105197</x:v>
      </x:c>
      <x:c r="C19" s="22" t="n">
        <x:f>MIN(D18+B19,Finanzierung!B21)</x:f>
        <x:v>3004.7000000000003</x:v>
      </x:c>
      <x:c r="D19" s="22" t="n">
        <x:f>MAX(0,D18+B19-C19)</x:f>
        <x:v>711177.5116021769</x:v>
      </x:c>
      <x:c r="E19" s="22" t="n">
        <x:f>G18*Eingaben!B15/12</x:f>
        <x:v>182.5</x:v>
      </x:c>
      <x:c r="F19" s="22" t="n">
        <x:f>IF(A19&lt;=Eingaben!B17*12,E19,MIN(G18+E19,Finanzierung!B25))</x:f>
        <x:v>182.5</x:v>
      </x:c>
      <x:c r="G19" s="22" t="n">
        <x:f>MAX(0,G18+E19-F19)</x:f>
        <x:v>100000</x:v>
      </x:c>
    </x:row>
    <x:row r="20" ht="23" customHeight="1">
      <x:c r="A20" s="16" t="n">
        <x:f>14</x:f>
        <x:v>14</x:v>
      </x:c>
      <x:c r="B20" s="22" t="n">
        <x:f>D19*Eingaben!B19/12</x:f>
        <x:v>2222.429723756803</x:v>
      </x:c>
      <x:c r="C20" s="22" t="n">
        <x:f>MIN(D19+B20,Finanzierung!B21)</x:f>
        <x:v>3004.7000000000003</x:v>
      </x:c>
      <x:c r="D20" s="22" t="n">
        <x:f>MAX(0,D19+B20-C20)</x:f>
        <x:v>710395.2413259338</x:v>
      </x:c>
      <x:c r="E20" s="22" t="n">
        <x:f>G19*Eingaben!B15/12</x:f>
        <x:v>182.5</x:v>
      </x:c>
      <x:c r="F20" s="22" t="n">
        <x:f>IF(A20&lt;=Eingaben!B17*12,E20,MIN(G19+E20,Finanzierung!B25))</x:f>
        <x:v>182.5</x:v>
      </x:c>
      <x:c r="G20" s="22" t="n">
        <x:f>MAX(0,G19+E20-F20)</x:f>
        <x:v>100000</x:v>
      </x:c>
    </x:row>
    <x:row r="21" ht="23" customHeight="1">
      <x:c r="A21" s="16" t="n">
        <x:f>15</x:f>
        <x:v>15</x:v>
      </x:c>
      <x:c r="B21" s="22" t="n">
        <x:f>D20*Eingaben!B19/12</x:f>
        <x:v>2219.985129143543</x:v>
      </x:c>
      <x:c r="C21" s="22" t="n">
        <x:f>MIN(D20+B21,Finanzierung!B21)</x:f>
        <x:v>3004.7000000000003</x:v>
      </x:c>
      <x:c r="D21" s="22" t="n">
        <x:f>MAX(0,D20+B21-C21)</x:f>
        <x:v>709610.5264550775</x:v>
      </x:c>
      <x:c r="E21" s="22" t="n">
        <x:f>G20*Eingaben!B15/12</x:f>
        <x:v>182.5</x:v>
      </x:c>
      <x:c r="F21" s="22" t="n">
        <x:f>IF(A21&lt;=Eingaben!B17*12,E21,MIN(G20+E21,Finanzierung!B25))</x:f>
        <x:v>182.5</x:v>
      </x:c>
      <x:c r="G21" s="22" t="n">
        <x:f>MAX(0,G20+E21-F21)</x:f>
        <x:v>100000</x:v>
      </x:c>
    </x:row>
    <x:row r="22" ht="23" customHeight="1">
      <x:c r="A22" s="16" t="n">
        <x:f>16</x:f>
        <x:v>16</x:v>
      </x:c>
      <x:c r="B22" s="22" t="n">
        <x:f>D21*Eingaben!B19/12</x:f>
        <x:v>2217.532895172117</x:v>
      </x:c>
      <x:c r="C22" s="22" t="n">
        <x:f>MIN(D21+B22,Finanzierung!B21)</x:f>
        <x:v>3004.7000000000003</x:v>
      </x:c>
      <x:c r="D22" s="22" t="n">
        <x:f>MAX(0,D21+B22-C22)</x:f>
        <x:v>708823.3593502496</x:v>
      </x:c>
      <x:c r="E22" s="22" t="n">
        <x:f>G21*Eingaben!B15/12</x:f>
        <x:v>182.5</x:v>
      </x:c>
      <x:c r="F22" s="22" t="n">
        <x:f>IF(A22&lt;=Eingaben!B17*12,E22,MIN(G21+E22,Finanzierung!B25))</x:f>
        <x:v>182.5</x:v>
      </x:c>
      <x:c r="G22" s="22" t="n">
        <x:f>MAX(0,G21+E22-F22)</x:f>
        <x:v>100000</x:v>
      </x:c>
    </x:row>
    <x:row r="23" ht="23" customHeight="1">
      <x:c r="A23" s="16" t="n">
        <x:f>17</x:f>
        <x:v>17</x:v>
      </x:c>
      <x:c r="B23" s="22" t="n">
        <x:f>D22*Eingaben!B19/12</x:f>
        <x:v>2215.07299796953</x:v>
      </x:c>
      <x:c r="C23" s="22" t="n">
        <x:f>MIN(D22+B23,Finanzierung!B21)</x:f>
        <x:v>3004.7000000000003</x:v>
      </x:c>
      <x:c r="D23" s="22" t="n">
        <x:f>MAX(0,D22+B23-C23)</x:f>
        <x:v>708033.7323482193</x:v>
      </x:c>
      <x:c r="E23" s="22" t="n">
        <x:f>G22*Eingaben!B15/12</x:f>
        <x:v>182.5</x:v>
      </x:c>
      <x:c r="F23" s="22" t="n">
        <x:f>IF(A23&lt;=Eingaben!B17*12,E23,MIN(G22+E23,Finanzierung!B25))</x:f>
        <x:v>182.5</x:v>
      </x:c>
      <x:c r="G23" s="22" t="n">
        <x:f>MAX(0,G22+E23-F23)</x:f>
        <x:v>100000</x:v>
      </x:c>
    </x:row>
    <x:row r="24" ht="23" customHeight="1">
      <x:c r="A24" s="16" t="n">
        <x:f>18</x:f>
        <x:v>18</x:v>
      </x:c>
      <x:c r="B24" s="22" t="n">
        <x:f>D23*Eingaben!B19/12</x:f>
        <x:v>2212.605413588185</x:v>
      </x:c>
      <x:c r="C24" s="22" t="n">
        <x:f>MIN(D23+B24,Finanzierung!B21)</x:f>
        <x:v>3004.7000000000003</x:v>
      </x:c>
      <x:c r="D24" s="22" t="n">
        <x:f>MAX(0,D23+B24-C24)</x:f>
        <x:v>707241.6377618075</x:v>
      </x:c>
      <x:c r="E24" s="22" t="n">
        <x:f>G23*Eingaben!B15/12</x:f>
        <x:v>182.5</x:v>
      </x:c>
      <x:c r="F24" s="22" t="n">
        <x:f>IF(A24&lt;=Eingaben!B17*12,E24,MIN(G23+E24,Finanzierung!B25))</x:f>
        <x:v>182.5</x:v>
      </x:c>
      <x:c r="G24" s="22" t="n">
        <x:f>MAX(0,G23+E24-F24)</x:f>
        <x:v>100000</x:v>
      </x:c>
    </x:row>
    <x:row r="25" ht="23" customHeight="1">
      <x:c r="A25" s="16" t="n">
        <x:f>19</x:f>
        <x:v>19</x:v>
      </x:c>
      <x:c r="B25" s="22" t="n">
        <x:f>D24*Eingaben!B19/12</x:f>
        <x:v>2210.1301180056485</x:v>
      </x:c>
      <x:c r="C25" s="22" t="n">
        <x:f>MIN(D24+B25,Finanzierung!B21)</x:f>
        <x:v>3004.7000000000003</x:v>
      </x:c>
      <x:c r="D25" s="22" t="n">
        <x:f>MAX(0,D24+B25-C25)</x:f>
        <x:v>706447.0678798133</x:v>
      </x:c>
      <x:c r="E25" s="22" t="n">
        <x:f>G24*Eingaben!B15/12</x:f>
        <x:v>182.5</x:v>
      </x:c>
      <x:c r="F25" s="22" t="n">
        <x:f>IF(A25&lt;=Eingaben!B17*12,E25,MIN(G24+E25,Finanzierung!B25))</x:f>
        <x:v>182.5</x:v>
      </x:c>
      <x:c r="G25" s="22" t="n">
        <x:f>MAX(0,G24+E25-F25)</x:f>
        <x:v>100000</x:v>
      </x:c>
    </x:row>
    <x:row r="26" ht="23" customHeight="1">
      <x:c r="A26" s="16" t="n">
        <x:f>20</x:f>
        <x:v>20</x:v>
      </x:c>
      <x:c r="B26" s="22" t="n">
        <x:f>D25*Eingaben!B19/12</x:f>
        <x:v>2207.6470871244164</x:v>
      </x:c>
      <x:c r="C26" s="22" t="n">
        <x:f>MIN(D25+B26,Finanzierung!B21)</x:f>
        <x:v>3004.7000000000003</x:v>
      </x:c>
      <x:c r="D26" s="22" t="n">
        <x:f>MAX(0,D25+B26-C26)</x:f>
        <x:v>705650.0149669377</x:v>
      </x:c>
      <x:c r="E26" s="22" t="n">
        <x:f>G25*Eingaben!B15/12</x:f>
        <x:v>182.5</x:v>
      </x:c>
      <x:c r="F26" s="22" t="n">
        <x:f>IF(A26&lt;=Eingaben!B17*12,E26,MIN(G25+E26,Finanzierung!B25))</x:f>
        <x:v>182.5</x:v>
      </x:c>
      <x:c r="G26" s="22" t="n">
        <x:f>MAX(0,G25+E26-F26)</x:f>
        <x:v>100000</x:v>
      </x:c>
    </x:row>
    <x:row r="27" ht="23" customHeight="1">
      <x:c r="A27" s="16" t="n">
        <x:f>21</x:f>
        <x:v>21</x:v>
      </x:c>
      <x:c r="B27" s="22" t="n">
        <x:f>D26*Eingaben!B19/12</x:f>
        <x:v>2205.1562967716804</x:v>
      </x:c>
      <x:c r="C27" s="22" t="n">
        <x:f>MIN(D26+B27,Finanzierung!B21)</x:f>
        <x:v>3004.7000000000003</x:v>
      </x:c>
      <x:c r="D27" s="22" t="n">
        <x:f>MAX(0,D26+B27-C27)</x:f>
        <x:v>704850.4712637095</x:v>
      </x:c>
      <x:c r="E27" s="22" t="n">
        <x:f>G26*Eingaben!B15/12</x:f>
        <x:v>182.5</x:v>
      </x:c>
      <x:c r="F27" s="22" t="n">
        <x:f>IF(A27&lt;=Eingaben!B17*12,E27,MIN(G26+E27,Finanzierung!B25))</x:f>
        <x:v>182.5</x:v>
      </x:c>
      <x:c r="G27" s="22" t="n">
        <x:f>MAX(0,G26+E27-F27)</x:f>
        <x:v>100000</x:v>
      </x:c>
    </x:row>
    <x:row r="28" ht="23" customHeight="1">
      <x:c r="A28" s="16" t="n">
        <x:f>22</x:f>
        <x:v>22</x:v>
      </x:c>
      <x:c r="B28" s="22" t="n">
        <x:f>D27*Eingaben!B19/12</x:f>
        <x:v>2202.657722699092</x:v>
      </x:c>
      <x:c r="C28" s="22" t="n">
        <x:f>MIN(D27+B28,Finanzierung!B21)</x:f>
        <x:v>3004.7000000000003</x:v>
      </x:c>
      <x:c r="D28" s="22" t="n">
        <x:f>MAX(0,D27+B28-C28)</x:f>
        <x:v>704048.4289864086</x:v>
      </x:c>
      <x:c r="E28" s="22" t="n">
        <x:f>G27*Eingaben!B15/12</x:f>
        <x:v>182.5</x:v>
      </x:c>
      <x:c r="F28" s="22" t="n">
        <x:f>IF(A28&lt;=Eingaben!B17*12,E28,MIN(G27+E28,Finanzierung!B25))</x:f>
        <x:v>182.5</x:v>
      </x:c>
      <x:c r="G28" s="22" t="n">
        <x:f>MAX(0,G27+E28-F28)</x:f>
        <x:v>100000</x:v>
      </x:c>
    </x:row>
    <x:row r="29" ht="23" customHeight="1">
      <x:c r="A29" s="16" t="n">
        <x:f>23</x:f>
        <x:v>23</x:v>
      </x:c>
      <x:c r="B29" s="22" t="n">
        <x:f>D28*Eingaben!B19/12</x:f>
        <x:v>2200.1513405825267</x:v>
      </x:c>
      <x:c r="C29" s="22" t="n">
        <x:f>MIN(D28+B29,Finanzierung!B21)</x:f>
        <x:v>3004.7000000000003</x:v>
      </x:c>
      <x:c r="D29" s="22" t="n">
        <x:f>MAX(0,D28+B29-C29)</x:f>
        <x:v>703243.8803269912</x:v>
      </x:c>
      <x:c r="E29" s="22" t="n">
        <x:f>G28*Eingaben!B15/12</x:f>
        <x:v>182.5</x:v>
      </x:c>
      <x:c r="F29" s="22" t="n">
        <x:f>IF(A29&lt;=Eingaben!B17*12,E29,MIN(G28+E29,Finanzierung!B25))</x:f>
        <x:v>182.5</x:v>
      </x:c>
      <x:c r="G29" s="22" t="n">
        <x:f>MAX(0,G28+E29-F29)</x:f>
        <x:v>100000</x:v>
      </x:c>
    </x:row>
    <x:row r="30" ht="23" customHeight="1">
      <x:c r="A30" s="16" t="n">
        <x:f>24</x:f>
        <x:v>24</x:v>
      </x:c>
      <x:c r="B30" s="22" t="n">
        <x:f>D29*Eingaben!B19/12</x:f>
        <x:v>2197.6371260218475</x:v>
      </x:c>
      <x:c r="C30" s="22" t="n">
        <x:f>MIN(D29+B30,Finanzierung!B21)</x:f>
        <x:v>3004.7000000000003</x:v>
      </x:c>
      <x:c r="D30" s="22" t="n">
        <x:f>MAX(0,D29+B30-C30)</x:f>
        <x:v>702436.8174530132</x:v>
      </x:c>
      <x:c r="E30" s="22" t="n">
        <x:f>G29*Eingaben!B15/12</x:f>
        <x:v>182.5</x:v>
      </x:c>
      <x:c r="F30" s="22" t="n">
        <x:f>IF(A30&lt;=Eingaben!B17*12,E30,MIN(G29+E30,Finanzierung!B25))</x:f>
        <x:v>182.5</x:v>
      </x:c>
      <x:c r="G30" s="22" t="n">
        <x:f>MAX(0,G29+E30-F30)</x:f>
        <x:v>100000</x:v>
      </x:c>
    </x:row>
    <x:row r="31" ht="23" customHeight="1">
      <x:c r="A31" s="16" t="n">
        <x:f>25</x:f>
        <x:v>25</x:v>
      </x:c>
      <x:c r="B31" s="22" t="n">
        <x:f>D30*Eingaben!B19/12</x:f>
        <x:v>2195.115054540666</x:v>
      </x:c>
      <x:c r="C31" s="22" t="n">
        <x:f>MIN(D30+B31,Finanzierung!B21)</x:f>
        <x:v>3004.7000000000003</x:v>
      </x:c>
      <x:c r="D31" s="22" t="n">
        <x:f>MAX(0,D30+B31-C31)</x:f>
        <x:v>701627.2325075539</x:v>
      </x:c>
      <x:c r="E31" s="22" t="n">
        <x:f>G30*Eingaben!B15/12</x:f>
        <x:v>182.5</x:v>
      </x:c>
      <x:c r="F31" s="22" t="n">
        <x:f>IF(A31&lt;=Eingaben!B17*12,E31,MIN(G30+E31,Finanzierung!B25))</x:f>
        <x:v>182.5</x:v>
      </x:c>
      <x:c r="G31" s="22" t="n">
        <x:f>MAX(0,G30+E31-F31)</x:f>
        <x:v>100000</x:v>
      </x:c>
    </x:row>
    <x:row r="32" ht="23" customHeight="1">
      <x:c r="A32" s="16" t="n">
        <x:f>26</x:f>
        <x:v>26</x:v>
      </x:c>
      <x:c r="B32" s="22" t="n">
        <x:f>D31*Eingaben!B19/12</x:f>
        <x:v>2192.585101586106</x:v>
      </x:c>
      <x:c r="C32" s="22" t="n">
        <x:f>MIN(D31+B32,Finanzierung!B21)</x:f>
        <x:v>3004.7000000000003</x:v>
      </x:c>
      <x:c r="D32" s="22" t="n">
        <x:f>MAX(0,D31+B32-C32)</x:f>
        <x:v>700815.11760914</x:v>
      </x:c>
      <x:c r="E32" s="22" t="n">
        <x:f>G31*Eingaben!B15/12</x:f>
        <x:v>182.5</x:v>
      </x:c>
      <x:c r="F32" s="22" t="n">
        <x:f>IF(A32&lt;=Eingaben!B17*12,E32,MIN(G31+E32,Finanzierung!B25))</x:f>
        <x:v>182.5</x:v>
      </x:c>
      <x:c r="G32" s="22" t="n">
        <x:f>MAX(0,G31+E32-F32)</x:f>
        <x:v>100000</x:v>
      </x:c>
    </x:row>
    <x:row r="33" ht="23" customHeight="1">
      <x:c r="A33" s="16" t="n">
        <x:f>27</x:f>
        <x:v>27</x:v>
      </x:c>
      <x:c r="B33" s="22" t="n">
        <x:f>D32*Eingaben!B19/12</x:f>
        <x:v>2190.0472425285625</x:v>
      </x:c>
      <x:c r="C33" s="22" t="n">
        <x:f>MIN(D32+B33,Finanzierung!B21)</x:f>
        <x:v>3004.7000000000003</x:v>
      </x:c>
      <x:c r="D33" s="22" t="n">
        <x:f>MAX(0,D32+B33-C33)</x:f>
        <x:v>700000.4648516686</x:v>
      </x:c>
      <x:c r="E33" s="22" t="n">
        <x:f>G32*Eingaben!B15/12</x:f>
        <x:v>182.5</x:v>
      </x:c>
      <x:c r="F33" s="22" t="n">
        <x:f>IF(A33&lt;=Eingaben!B17*12,E33,MIN(G32+E33,Finanzierung!B25))</x:f>
        <x:v>182.5</x:v>
      </x:c>
      <x:c r="G33" s="22" t="n">
        <x:f>MAX(0,G32+E33-F33)</x:f>
        <x:v>100000</x:v>
      </x:c>
    </x:row>
    <x:row r="34" ht="23" customHeight="1">
      <x:c r="A34" s="16" t="n">
        <x:f>28</x:f>
        <x:v>28</x:v>
      </x:c>
      <x:c r="B34" s="22" t="n">
        <x:f>D33*Eingaben!B19/12</x:f>
        <x:v>2187.501452661464</x:v>
      </x:c>
      <x:c r="C34" s="22" t="n">
        <x:f>MIN(D33+B34,Finanzierung!B21)</x:f>
        <x:v>3004.7000000000003</x:v>
      </x:c>
      <x:c r="D34" s="22" t="n">
        <x:f>MAX(0,D33+B34-C34)</x:f>
        <x:v>699183.2663043301</x:v>
      </x:c>
      <x:c r="E34" s="22" t="n">
        <x:f>G33*Eingaben!B15/12</x:f>
        <x:v>182.5</x:v>
      </x:c>
      <x:c r="F34" s="22" t="n">
        <x:f>IF(A34&lt;=Eingaben!B17*12,E34,MIN(G33+E34,Finanzierung!B25))</x:f>
        <x:v>182.5</x:v>
      </x:c>
      <x:c r="G34" s="22" t="n">
        <x:f>MAX(0,G33+E34-F34)</x:f>
        <x:v>100000</x:v>
      </x:c>
    </x:row>
    <x:row r="35" ht="23" customHeight="1">
      <x:c r="A35" s="16" t="n">
        <x:f>29</x:f>
        <x:v>29</x:v>
      </x:c>
      <x:c r="B35" s="22" t="n">
        <x:f>D34*Eingaben!B19/12</x:f>
        <x:v>2184.9477072010313</x:v>
      </x:c>
      <x:c r="C35" s="22" t="n">
        <x:f>MIN(D34+B35,Finanzierung!B21)</x:f>
        <x:v>3004.7000000000003</x:v>
      </x:c>
      <x:c r="D35" s="22" t="n">
        <x:f>MAX(0,D34+B35-C35)</x:f>
        <x:v>698363.5140115311</x:v>
      </x:c>
      <x:c r="E35" s="22" t="n">
        <x:f>G34*Eingaben!B15/12</x:f>
        <x:v>182.5</x:v>
      </x:c>
      <x:c r="F35" s="22" t="n">
        <x:f>IF(A35&lt;=Eingaben!B17*12,E35,MIN(G34+E35,Finanzierung!B25))</x:f>
        <x:v>182.5</x:v>
      </x:c>
      <x:c r="G35" s="22" t="n">
        <x:f>MAX(0,G34+E35-F35)</x:f>
        <x:v>100000</x:v>
      </x:c>
    </x:row>
    <x:row r="36" ht="23" customHeight="1">
      <x:c r="A36" s="16" t="n">
        <x:f>30</x:f>
        <x:v>30</x:v>
      </x:c>
      <x:c r="B36" s="22" t="n">
        <x:f>D35*Eingaben!B19/12</x:f>
        <x:v>2182.3859812860346</x:v>
      </x:c>
      <x:c r="C36" s="22" t="n">
        <x:f>MIN(D35+B36,Finanzierung!B21)</x:f>
        <x:v>3004.7000000000003</x:v>
      </x:c>
      <x:c r="D36" s="22" t="n">
        <x:f>MAX(0,D35+B36-C36)</x:f>
        <x:v>697541.1999928172</x:v>
      </x:c>
      <x:c r="E36" s="22" t="n">
        <x:f>G35*Eingaben!B15/12</x:f>
        <x:v>182.5</x:v>
      </x:c>
      <x:c r="F36" s="22" t="n">
        <x:f>IF(A36&lt;=Eingaben!B17*12,E36,MIN(G35+E36,Finanzierung!B25))</x:f>
        <x:v>182.5</x:v>
      </x:c>
      <x:c r="G36" s="22" t="n">
        <x:f>MAX(0,G35+E36-F36)</x:f>
        <x:v>100000</x:v>
      </x:c>
    </x:row>
    <x:row r="37" ht="23" customHeight="1">
      <x:c r="A37" s="16" t="n">
        <x:f>31</x:f>
        <x:v>31</x:v>
      </x:c>
      <x:c r="B37" s="22" t="n">
        <x:f>D36*Eingaben!B19/12</x:f>
        <x:v>2179.816249977554</x:v>
      </x:c>
      <x:c r="C37" s="22" t="n">
        <x:f>MIN(D36+B37,Finanzierung!B21)</x:f>
        <x:v>3004.7000000000003</x:v>
      </x:c>
      <x:c r="D37" s="22" t="n">
        <x:f>MAX(0,D36+B37-C37)</x:f>
        <x:v>696716.3162427949</x:v>
      </x:c>
      <x:c r="E37" s="22" t="n">
        <x:f>G36*Eingaben!B15/12</x:f>
        <x:v>182.5</x:v>
      </x:c>
      <x:c r="F37" s="22" t="n">
        <x:f>IF(A37&lt;=Eingaben!B17*12,E37,MIN(G36+E37,Finanzierung!B25))</x:f>
        <x:v>182.5</x:v>
      </x:c>
      <x:c r="G37" s="22" t="n">
        <x:f>MAX(0,G36+E37-F37)</x:f>
        <x:v>100000</x:v>
      </x:c>
    </x:row>
    <x:row r="38" ht="23" customHeight="1">
      <x:c r="A38" s="16" t="n">
        <x:f>32</x:f>
        <x:v>32</x:v>
      </x:c>
      <x:c r="B38" s="22" t="n">
        <x:f>D37*Eingaben!B19/12</x:f>
        <x:v>2177.238488258734</x:v>
      </x:c>
      <x:c r="C38" s="22" t="n">
        <x:f>MIN(D37+B38,Finanzierung!B21)</x:f>
        <x:v>3004.7000000000003</x:v>
      </x:c>
      <x:c r="D38" s="22" t="n">
        <x:f>MAX(0,D37+B38-C38)</x:f>
        <x:v>695888.8547310536</x:v>
      </x:c>
      <x:c r="E38" s="22" t="n">
        <x:f>G37*Eingaben!B15/12</x:f>
        <x:v>182.5</x:v>
      </x:c>
      <x:c r="F38" s="22" t="n">
        <x:f>IF(A38&lt;=Eingaben!B17*12,E38,MIN(G37+E38,Finanzierung!B25))</x:f>
        <x:v>182.5</x:v>
      </x:c>
      <x:c r="G38" s="22" t="n">
        <x:f>MAX(0,G37+E38-F38)</x:f>
        <x:v>100000</x:v>
      </x:c>
    </x:row>
    <x:row r="39" ht="23" customHeight="1">
      <x:c r="A39" s="16" t="n">
        <x:f>33</x:f>
        <x:v>33</x:v>
      </x:c>
      <x:c r="B39" s="22" t="n">
        <x:f>D38*Eingaben!B19/12</x:f>
        <x:v>2174.6526710345424</x:v>
      </x:c>
      <x:c r="C39" s="22" t="n">
        <x:f>MIN(D38+B39,Finanzierung!B21)</x:f>
        <x:v>3004.7000000000003</x:v>
      </x:c>
      <x:c r="D39" s="22" t="n">
        <x:f>MAX(0,D38+B39-C39)</x:f>
        <x:v>695058.8074020882</x:v>
      </x:c>
      <x:c r="E39" s="22" t="n">
        <x:f>G38*Eingaben!B15/12</x:f>
        <x:v>182.5</x:v>
      </x:c>
      <x:c r="F39" s="22" t="n">
        <x:f>IF(A39&lt;=Eingaben!B17*12,E39,MIN(G38+E39,Finanzierung!B25))</x:f>
        <x:v>182.5</x:v>
      </x:c>
      <x:c r="G39" s="22" t="n">
        <x:f>MAX(0,G38+E39-F39)</x:f>
        <x:v>100000</x:v>
      </x:c>
    </x:row>
    <x:row r="40" ht="23" customHeight="1">
      <x:c r="A40" s="16" t="n">
        <x:f>34</x:f>
        <x:v>34</x:v>
      </x:c>
      <x:c r="B40" s="22" t="n">
        <x:f>D39*Eingaben!B19/12</x:f>
        <x:v>2172.0587731315254</x:v>
      </x:c>
      <x:c r="C40" s="22" t="n">
        <x:f>MIN(D39+B40,Finanzierung!B21)</x:f>
        <x:v>3004.7000000000003</x:v>
      </x:c>
      <x:c r="D40" s="22" t="n">
        <x:f>MAX(0,D39+B40-C40)</x:f>
        <x:v>694226.1661752198</x:v>
      </x:c>
      <x:c r="E40" s="22" t="n">
        <x:f>G39*Eingaben!B15/12</x:f>
        <x:v>182.5</x:v>
      </x:c>
      <x:c r="F40" s="22" t="n">
        <x:f>IF(A40&lt;=Eingaben!B17*12,E40,MIN(G39+E40,Finanzierung!B25))</x:f>
        <x:v>182.5</x:v>
      </x:c>
      <x:c r="G40" s="22" t="n">
        <x:f>MAX(0,G39+E40-F40)</x:f>
        <x:v>100000</x:v>
      </x:c>
    </x:row>
    <x:row r="41" ht="23" customHeight="1">
      <x:c r="A41" s="16" t="n">
        <x:f>35</x:f>
        <x:v>35</x:v>
      </x:c>
      <x:c r="B41" s="22" t="n">
        <x:f>D40*Eingaben!B19/12</x:f>
        <x:v>2169.456769297562</x:v>
      </x:c>
      <x:c r="C41" s="22" t="n">
        <x:f>MIN(D40+B41,Finanzierung!B21)</x:f>
        <x:v>3004.7000000000003</x:v>
      </x:c>
      <x:c r="D41" s="22" t="n">
        <x:f>MAX(0,D40+B41-C41)</x:f>
        <x:v>693390.9229445175</x:v>
      </x:c>
      <x:c r="E41" s="22" t="n">
        <x:f>G40*Eingaben!B15/12</x:f>
        <x:v>182.5</x:v>
      </x:c>
      <x:c r="F41" s="22" t="n">
        <x:f>IF(A41&lt;=Eingaben!B17*12,E41,MIN(G40+E41,Finanzierung!B25))</x:f>
        <x:v>182.5</x:v>
      </x:c>
      <x:c r="G41" s="22" t="n">
        <x:f>MAX(0,G40+E41-F41)</x:f>
        <x:v>100000</x:v>
      </x:c>
    </x:row>
    <x:row r="42" ht="23" customHeight="1">
      <x:c r="A42" s="16" t="n">
        <x:f>36</x:f>
        <x:v>36</x:v>
      </x:c>
      <x:c r="B42" s="22" t="n">
        <x:f>D41*Eingaben!B19/12</x:f>
        <x:v>2166.846634201617</x:v>
      </x:c>
      <x:c r="C42" s="22" t="n">
        <x:f>MIN(D41+B42,Finanzierung!B21)</x:f>
        <x:v>3004.7000000000003</x:v>
      </x:c>
      <x:c r="D42" s="22" t="n">
        <x:f>MAX(0,D41+B42-C42)</x:f>
        <x:v>692553.0695787191</x:v>
      </x:c>
      <x:c r="E42" s="22" t="n">
        <x:f>G41*Eingaben!B15/12</x:f>
        <x:v>182.5</x:v>
      </x:c>
      <x:c r="F42" s="22" t="n">
        <x:f>IF(A42&lt;=Eingaben!B17*12,E42,MIN(G41+E42,Finanzierung!B25))</x:f>
        <x:v>182.5</x:v>
      </x:c>
      <x:c r="G42" s="22" t="n">
        <x:f>MAX(0,G41+E42-F42)</x:f>
        <x:v>100000</x:v>
      </x:c>
    </x:row>
    <x:row r="43" ht="23" customHeight="1">
      <x:c r="A43" s="16" t="n">
        <x:f>37</x:f>
        <x:v>37</x:v>
      </x:c>
      <x:c r="B43" s="22" t="n">
        <x:f>D42*Eingaben!B19/12</x:f>
        <x:v>2164.228342433497</x:v>
      </x:c>
      <x:c r="C43" s="22" t="n">
        <x:f>MIN(D42+B43,Finanzierung!B21)</x:f>
        <x:v>3004.7000000000003</x:v>
      </x:c>
      <x:c r="D43" s="22" t="n">
        <x:f>MAX(0,D42+B43-C43)</x:f>
        <x:v>691712.5979211526</x:v>
      </x:c>
      <x:c r="E43" s="22" t="n">
        <x:f>G42*Eingaben!B15/12</x:f>
        <x:v>182.5</x:v>
      </x:c>
      <x:c r="F43" s="22" t="n">
        <x:f>IF(A43&lt;=Eingaben!B17*12,E43,MIN(G42+E43,Finanzierung!B25))</x:f>
        <x:v>182.5</x:v>
      </x:c>
      <x:c r="G43" s="22" t="n">
        <x:f>MAX(0,G42+E43-F43)</x:f>
        <x:v>100000</x:v>
      </x:c>
    </x:row>
    <x:row r="44" ht="23" customHeight="1">
      <x:c r="A44" s="16" t="n">
        <x:f>38</x:f>
        <x:v>38</x:v>
      </x:c>
      <x:c r="B44" s="22" t="n">
        <x:f>D43*Eingaben!B19/12</x:f>
        <x:v>2161.601868503602</x:v>
      </x:c>
      <x:c r="C44" s="22" t="n">
        <x:f>MIN(D43+B44,Finanzierung!B21)</x:f>
        <x:v>3004.7000000000003</x:v>
      </x:c>
      <x:c r="D44" s="22" t="n">
        <x:f>MAX(0,D43+B44-C44)</x:f>
        <x:v>690869.4997896563</x:v>
      </x:c>
      <x:c r="E44" s="22" t="n">
        <x:f>G43*Eingaben!B15/12</x:f>
        <x:v>182.5</x:v>
      </x:c>
      <x:c r="F44" s="22" t="n">
        <x:f>IF(A44&lt;=Eingaben!B17*12,E44,MIN(G43+E44,Finanzierung!B25))</x:f>
        <x:v>182.5</x:v>
      </x:c>
      <x:c r="G44" s="22" t="n">
        <x:f>MAX(0,G43+E44-F44)</x:f>
        <x:v>100000</x:v>
      </x:c>
    </x:row>
    <x:row r="45" ht="23" customHeight="1">
      <x:c r="A45" s="16" t="n">
        <x:f>39</x:f>
        <x:v>39</x:v>
      </x:c>
      <x:c r="B45" s="22" t="n">
        <x:f>D44*Eingaben!B19/12</x:f>
        <x:v>2158.967186842676</x:v>
      </x:c>
      <x:c r="C45" s="22" t="n">
        <x:f>MIN(D44+B45,Finanzierung!B21)</x:f>
        <x:v>3004.7000000000003</x:v>
      </x:c>
      <x:c r="D45" s="22" t="n">
        <x:f>MAX(0,D44+B45-C45)</x:f>
        <x:v>690023.766976499</x:v>
      </x:c>
      <x:c r="E45" s="22" t="n">
        <x:f>G44*Eingaben!B15/12</x:f>
        <x:v>182.5</x:v>
      </x:c>
      <x:c r="F45" s="22" t="n">
        <x:f>IF(A45&lt;=Eingaben!B17*12,E45,MIN(G44+E45,Finanzierung!B25))</x:f>
        <x:v>182.5</x:v>
      </x:c>
      <x:c r="G45" s="22" t="n">
        <x:f>MAX(0,G44+E45-F45)</x:f>
        <x:v>100000</x:v>
      </x:c>
    </x:row>
    <x:row r="46" ht="23" customHeight="1">
      <x:c r="A46" s="16" t="n">
        <x:f>40</x:f>
        <x:v>40</x:v>
      </x:c>
      <x:c r="B46" s="22" t="n">
        <x:f>D45*Eingaben!B19/12</x:f>
        <x:v>2156.3242718015595</x:v>
      </x:c>
      <x:c r="C46" s="22" t="n">
        <x:f>MIN(D45+B46,Finanzierung!B21)</x:f>
        <x:v>3004.7000000000003</x:v>
      </x:c>
      <x:c r="D46" s="22" t="n">
        <x:f>MAX(0,D45+B46-C46)</x:f>
        <x:v>689175.3912483006</x:v>
      </x:c>
      <x:c r="E46" s="22" t="n">
        <x:f>G45*Eingaben!B15/12</x:f>
        <x:v>182.5</x:v>
      </x:c>
      <x:c r="F46" s="22" t="n">
        <x:f>IF(A46&lt;=Eingaben!B17*12,E46,MIN(G45+E46,Finanzierung!B25))</x:f>
        <x:v>182.5</x:v>
      </x:c>
      <x:c r="G46" s="22" t="n">
        <x:f>MAX(0,G45+E46-F46)</x:f>
        <x:v>100000</x:v>
      </x:c>
    </x:row>
    <x:row r="47" ht="23" customHeight="1">
      <x:c r="A47" s="16" t="n">
        <x:f>41</x:f>
        <x:v>41</x:v>
      </x:c>
      <x:c r="B47" s="22" t="n">
        <x:f>D46*Eingaben!B19/12</x:f>
        <x:v>2153.6730976509393</x:v>
      </x:c>
      <x:c r="C47" s="22" t="n">
        <x:f>MIN(D46+B47,Finanzierung!B21)</x:f>
        <x:v>3004.7000000000003</x:v>
      </x:c>
      <x:c r="D47" s="22" t="n">
        <x:f>MAX(0,D46+B47-C47)</x:f>
        <x:v>688324.3643459516</x:v>
      </x:c>
      <x:c r="E47" s="22" t="n">
        <x:f>G46*Eingaben!B15/12</x:f>
        <x:v>182.5</x:v>
      </x:c>
      <x:c r="F47" s="22" t="n">
        <x:f>IF(A47&lt;=Eingaben!B17*12,E47,MIN(G46+E47,Finanzierung!B25))</x:f>
        <x:v>182.5</x:v>
      </x:c>
      <x:c r="G47" s="22" t="n">
        <x:f>MAX(0,G46+E47-F47)</x:f>
        <x:v>100000</x:v>
      </x:c>
    </x:row>
    <x:row r="48" ht="23" customHeight="1">
      <x:c r="A48" s="16" t="n">
        <x:f>42</x:f>
        <x:v>42</x:v>
      </x:c>
      <x:c r="B48" s="22" t="n">
        <x:f>D47*Eingaben!B19/12</x:f>
        <x:v>2151.013638581099</x:v>
      </x:c>
      <x:c r="C48" s="22" t="n">
        <x:f>MIN(D47+B48,Finanzierung!B21)</x:f>
        <x:v>3004.7000000000003</x:v>
      </x:c>
      <x:c r="D48" s="22" t="n">
        <x:f>MAX(0,D47+B48-C48)</x:f>
        <x:v>687470.6779845328</x:v>
      </x:c>
      <x:c r="E48" s="22" t="n">
        <x:f>G47*Eingaben!B15/12</x:f>
        <x:v>182.5</x:v>
      </x:c>
      <x:c r="F48" s="22" t="n">
        <x:f>IF(A48&lt;=Eingaben!B17*12,E48,MIN(G47+E48,Finanzierung!B25))</x:f>
        <x:v>182.5</x:v>
      </x:c>
      <x:c r="G48" s="22" t="n">
        <x:f>MAX(0,G47+E48-F48)</x:f>
        <x:v>100000</x:v>
      </x:c>
    </x:row>
    <x:row r="49" ht="23" customHeight="1">
      <x:c r="A49" s="16" t="n">
        <x:f>43</x:f>
        <x:v>43</x:v>
      </x:c>
      <x:c r="B49" s="22" t="n">
        <x:f>D48*Eingaben!B19/12</x:f>
        <x:v>2148.345868701665</x:v>
      </x:c>
      <x:c r="C49" s="22" t="n">
        <x:f>MIN(D48+B49,Finanzierung!B21)</x:f>
        <x:v>3004.7000000000003</x:v>
      </x:c>
      <x:c r="D49" s="22" t="n">
        <x:f>MAX(0,D48+B49-C49)</x:f>
        <x:v>686614.3238532345</x:v>
      </x:c>
      <x:c r="E49" s="22" t="n">
        <x:f>G48*Eingaben!B15/12</x:f>
        <x:v>182.5</x:v>
      </x:c>
      <x:c r="F49" s="22" t="n">
        <x:f>IF(A49&lt;=Eingaben!B17*12,E49,MIN(G48+E49,Finanzierung!B25))</x:f>
        <x:v>182.5</x:v>
      </x:c>
      <x:c r="G49" s="22" t="n">
        <x:f>MAX(0,G48+E49-F49)</x:f>
        <x:v>100000</x:v>
      </x:c>
    </x:row>
    <x:row r="50" ht="23" customHeight="1">
      <x:c r="A50" s="16" t="n">
        <x:f>44</x:f>
        <x:v>44</x:v>
      </x:c>
      <x:c r="B50" s="22" t="n">
        <x:f>D49*Eingaben!B19/12</x:f>
        <x:v>2145.669762041358</x:v>
      </x:c>
      <x:c r="C50" s="22" t="n">
        <x:f>MIN(D49+B50,Finanzierung!B21)</x:f>
        <x:v>3004.7000000000003</x:v>
      </x:c>
      <x:c r="D50" s="22" t="n">
        <x:f>MAX(0,D49+B50-C50)</x:f>
        <x:v>685755.2936152759</x:v>
      </x:c>
      <x:c r="E50" s="22" t="n">
        <x:f>G49*Eingaben!B15/12</x:f>
        <x:v>182.5</x:v>
      </x:c>
      <x:c r="F50" s="22" t="n">
        <x:f>IF(A50&lt;=Eingaben!B17*12,E50,MIN(G49+E50,Finanzierung!B25))</x:f>
        <x:v>182.5</x:v>
      </x:c>
      <x:c r="G50" s="22" t="n">
        <x:f>MAX(0,G49+E50-F50)</x:f>
        <x:v>100000</x:v>
      </x:c>
    </x:row>
    <x:row r="51" ht="23" customHeight="1">
      <x:c r="A51" s="16" t="n">
        <x:f>45</x:f>
        <x:v>45</x:v>
      </x:c>
      <x:c r="B51" s="22" t="n">
        <x:f>D50*Eingaben!B19/12</x:f>
        <x:v>2142.985292547737</x:v>
      </x:c>
      <x:c r="C51" s="22" t="n">
        <x:f>MIN(D50+B51,Finanzierung!B21)</x:f>
        <x:v>3004.7000000000003</x:v>
      </x:c>
      <x:c r="D51" s="22" t="n">
        <x:f>MAX(0,D50+B51-C51)</x:f>
        <x:v>684893.5789078237</x:v>
      </x:c>
      <x:c r="E51" s="22" t="n">
        <x:f>G50*Eingaben!B15/12</x:f>
        <x:v>182.5</x:v>
      </x:c>
      <x:c r="F51" s="22" t="n">
        <x:f>IF(A51&lt;=Eingaben!B17*12,E51,MIN(G50+E51,Finanzierung!B25))</x:f>
        <x:v>182.5</x:v>
      </x:c>
      <x:c r="G51" s="22" t="n">
        <x:f>MAX(0,G50+E51-F51)</x:f>
        <x:v>100000</x:v>
      </x:c>
    </x:row>
    <x:row r="52" ht="23" customHeight="1">
      <x:c r="A52" s="16" t="n">
        <x:f>46</x:f>
        <x:v>46</x:v>
      </x:c>
      <x:c r="B52" s="22" t="n">
        <x:f>D51*Eingaben!B19/12</x:f>
        <x:v>2140.292434086949</x:v>
      </x:c>
      <x:c r="C52" s="22" t="n">
        <x:f>MIN(D51+B52,Finanzierung!B21)</x:f>
        <x:v>3004.7000000000003</x:v>
      </x:c>
      <x:c r="D52" s="22" t="n">
        <x:f>MAX(0,D51+B52-C52)</x:f>
        <x:v>684029.1713419106</x:v>
      </x:c>
      <x:c r="E52" s="22" t="n">
        <x:f>G51*Eingaben!B15/12</x:f>
        <x:v>182.5</x:v>
      </x:c>
      <x:c r="F52" s="22" t="n">
        <x:f>IF(A52&lt;=Eingaben!B17*12,E52,MIN(G51+E52,Finanzierung!B25))</x:f>
        <x:v>182.5</x:v>
      </x:c>
      <x:c r="G52" s="22" t="n">
        <x:f>MAX(0,G51+E52-F52)</x:f>
        <x:v>100000</x:v>
      </x:c>
    </x:row>
    <x:row r="53" ht="23" customHeight="1">
      <x:c r="A53" s="16" t="n">
        <x:f>47</x:f>
        <x:v>47</x:v>
      </x:c>
      <x:c r="B53" s="22" t="n">
        <x:f>D52*Eingaben!B19/12</x:f>
        <x:v>2137.5911604434705</x:v>
      </x:c>
      <x:c r="C53" s="22" t="n">
        <x:f>MIN(D52+B53,Finanzierung!B21)</x:f>
        <x:v>3004.7000000000003</x:v>
      </x:c>
      <x:c r="D53" s="22" t="n">
        <x:f>MAX(0,D52+B53-C53)</x:f>
        <x:v>683162.0625023542</x:v>
      </x:c>
      <x:c r="E53" s="22" t="n">
        <x:f>G52*Eingaben!B15/12</x:f>
        <x:v>182.5</x:v>
      </x:c>
      <x:c r="F53" s="22" t="n">
        <x:f>IF(A53&lt;=Eingaben!B17*12,E53,MIN(G52+E53,Finanzierung!B25))</x:f>
        <x:v>182.5</x:v>
      </x:c>
      <x:c r="G53" s="22" t="n">
        <x:f>MAX(0,G52+E53-F53)</x:f>
        <x:v>100000</x:v>
      </x:c>
    </x:row>
    <x:row r="54" ht="23" customHeight="1">
      <x:c r="A54" s="16" t="n">
        <x:f>48</x:f>
        <x:v>48</x:v>
      </x:c>
      <x:c r="B54" s="22" t="n">
        <x:f>D53*Eingaben!B19/12</x:f>
        <x:v>2134.8814453198565</x:v>
      </x:c>
      <x:c r="C54" s="22" t="n">
        <x:f>MIN(D53+B54,Finanzierung!B21)</x:f>
        <x:v>3004.7000000000003</x:v>
      </x:c>
      <x:c r="D54" s="22" t="n">
        <x:f>MAX(0,D53+B54-C54)</x:f>
        <x:v>682292.243947674</x:v>
      </x:c>
      <x:c r="E54" s="22" t="n">
        <x:f>G53*Eingaben!B15/12</x:f>
        <x:v>182.5</x:v>
      </x:c>
      <x:c r="F54" s="22" t="n">
        <x:f>IF(A54&lt;=Eingaben!B17*12,E54,MIN(G53+E54,Finanzierung!B25))</x:f>
        <x:v>182.5</x:v>
      </x:c>
      <x:c r="G54" s="22" t="n">
        <x:f>MAX(0,G53+E54-F54)</x:f>
        <x:v>100000</x:v>
      </x:c>
    </x:row>
    <x:row r="55" ht="23" customHeight="1">
      <x:c r="A55" s="16" t="n">
        <x:f>49</x:f>
        <x:v>49</x:v>
      </x:c>
      <x:c r="B55" s="22" t="n">
        <x:f>D54*Eingaben!B19/12</x:f>
        <x:v>2132.1632623364812</x:v>
      </x:c>
      <x:c r="C55" s="22" t="n">
        <x:f>MIN(D54+B55,Finanzierung!B21)</x:f>
        <x:v>3004.7000000000003</x:v>
      </x:c>
      <x:c r="D55" s="22" t="n">
        <x:f>MAX(0,D54+B55-C55)</x:f>
        <x:v>681419.7072100106</x:v>
      </x:c>
      <x:c r="E55" s="22" t="n">
        <x:f>G54*Eingaben!B15/12</x:f>
        <x:v>182.5</x:v>
      </x:c>
      <x:c r="F55" s="22" t="n">
        <x:f>IF(A55&lt;=Eingaben!B17*12,E55,MIN(G54+E55,Finanzierung!B25))</x:f>
        <x:v>182.5</x:v>
      </x:c>
      <x:c r="G55" s="22" t="n">
        <x:f>MAX(0,G54+E55-F55)</x:f>
        <x:v>100000</x:v>
      </x:c>
    </x:row>
    <x:row r="56" ht="23" customHeight="1">
      <x:c r="A56" s="16" t="n">
        <x:f>50</x:f>
        <x:v>50</x:v>
      </x:c>
      <x:c r="B56" s="22" t="n">
        <x:f>D55*Eingaben!B19/12</x:f>
        <x:v>2129.436585031283</x:v>
      </x:c>
      <x:c r="C56" s="22" t="n">
        <x:f>MIN(D55+B56,Finanzierung!B21)</x:f>
        <x:v>3004.7000000000003</x:v>
      </x:c>
      <x:c r="D56" s="22" t="n">
        <x:f>MAX(0,D55+B56-C56)</x:f>
        <x:v>680544.443795042</x:v>
      </x:c>
      <x:c r="E56" s="22" t="n">
        <x:f>G55*Eingaben!B15/12</x:f>
        <x:v>182.5</x:v>
      </x:c>
      <x:c r="F56" s="22" t="n">
        <x:f>IF(A56&lt;=Eingaben!B17*12,E56,MIN(G55+E56,Finanzierung!B25))</x:f>
        <x:v>182.5</x:v>
      </x:c>
      <x:c r="G56" s="22" t="n">
        <x:f>MAX(0,G55+E56-F56)</x:f>
        <x:v>100000</x:v>
      </x:c>
    </x:row>
    <x:row r="57" ht="23" customHeight="1">
      <x:c r="A57" s="16" t="n">
        <x:f>51</x:f>
        <x:v>51</x:v>
      </x:c>
      <x:c r="B57" s="22" t="n">
        <x:f>D56*Eingaben!B19/12</x:f>
        <x:v>2126.7013868595063</x:v>
      </x:c>
      <x:c r="C57" s="22" t="n">
        <x:f>MIN(D56+B57,Finanzierung!B21)</x:f>
        <x:v>3004.7000000000003</x:v>
      </x:c>
      <x:c r="D57" s="22" t="n">
        <x:f>MAX(0,D56+B57-C57)</x:f>
        <x:v>679666.4451819016</x:v>
      </x:c>
      <x:c r="E57" s="22" t="n">
        <x:f>G56*Eingaben!B15/12</x:f>
        <x:v>182.5</x:v>
      </x:c>
      <x:c r="F57" s="22" t="n">
        <x:f>IF(A57&lt;=Eingaben!B17*12,E57,MIN(G56+E57,Finanzierung!B25))</x:f>
        <x:v>182.5</x:v>
      </x:c>
      <x:c r="G57" s="22" t="n">
        <x:f>MAX(0,G56+E57-F57)</x:f>
        <x:v>100000</x:v>
      </x:c>
    </x:row>
    <x:row r="58" ht="23" customHeight="1">
      <x:c r="A58" s="16" t="n">
        <x:f>52</x:f>
        <x:v>52</x:v>
      </x:c>
      <x:c r="B58" s="22" t="n">
        <x:f>D57*Eingaben!B19/12</x:f>
        <x:v>2123.957641193442</x:v>
      </x:c>
      <x:c r="C58" s="22" t="n">
        <x:f>MIN(D57+B58,Finanzierung!B21)</x:f>
        <x:v>3004.7000000000003</x:v>
      </x:c>
      <x:c r="D58" s="22" t="n">
        <x:f>MAX(0,D57+B58-C58)</x:f>
        <x:v>678785.702823095</x:v>
      </x:c>
      <x:c r="E58" s="22" t="n">
        <x:f>G57*Eingaben!B15/12</x:f>
        <x:v>182.5</x:v>
      </x:c>
      <x:c r="F58" s="22" t="n">
        <x:f>IF(A58&lt;=Eingaben!B17*12,E58,MIN(G57+E58,Finanzierung!B25))</x:f>
        <x:v>182.5</x:v>
      </x:c>
      <x:c r="G58" s="22" t="n">
        <x:f>MAX(0,G57+E58-F58)</x:f>
        <x:v>100000</x:v>
      </x:c>
    </x:row>
    <x:row r="59" ht="23" customHeight="1">
      <x:c r="A59" s="16" t="n">
        <x:f>53</x:f>
        <x:v>53</x:v>
      </x:c>
      <x:c r="B59" s="22" t="n">
        <x:f>D58*Eingaben!B19/12</x:f>
        <x:v>2121.205321322172</x:v>
      </x:c>
      <x:c r="C59" s="22" t="n">
        <x:f>MIN(D58+B59,Finanzierung!B21)</x:f>
        <x:v>3004.7000000000003</x:v>
      </x:c>
      <x:c r="D59" s="22" t="n">
        <x:f>MAX(0,D58+B59-C59)</x:f>
        <x:v>677902.2081444173</x:v>
      </x:c>
      <x:c r="E59" s="22" t="n">
        <x:f>G58*Eingaben!B15/12</x:f>
        <x:v>182.5</x:v>
      </x:c>
      <x:c r="F59" s="22" t="n">
        <x:f>IF(A59&lt;=Eingaben!B17*12,E59,MIN(G58+E59,Finanzierung!B25))</x:f>
        <x:v>182.5</x:v>
      </x:c>
      <x:c r="G59" s="22" t="n">
        <x:f>MAX(0,G58+E59-F59)</x:f>
        <x:v>100000</x:v>
      </x:c>
    </x:row>
    <x:row r="60" ht="23" customHeight="1">
      <x:c r="A60" s="16" t="n">
        <x:f>54</x:f>
        <x:v>54</x:v>
      </x:c>
      <x:c r="B60" s="22" t="n">
        <x:f>D59*Eingaben!B19/12</x:f>
        <x:v>2118.444400451304</x:v>
      </x:c>
      <x:c r="C60" s="22" t="n">
        <x:f>MIN(D59+B60,Finanzierung!B21)</x:f>
        <x:v>3004.7000000000003</x:v>
      </x:c>
      <x:c r="D60" s="22" t="n">
        <x:f>MAX(0,D59+B60-C60)</x:f>
        <x:v>677015.9525448686</x:v>
      </x:c>
      <x:c r="E60" s="22" t="n">
        <x:f>G59*Eingaben!B15/12</x:f>
        <x:v>182.5</x:v>
      </x:c>
      <x:c r="F60" s="22" t="n">
        <x:f>IF(A60&lt;=Eingaben!B17*12,E60,MIN(G59+E60,Finanzierung!B25))</x:f>
        <x:v>182.5</x:v>
      </x:c>
      <x:c r="G60" s="22" t="n">
        <x:f>MAX(0,G59+E60-F60)</x:f>
        <x:v>100000</x:v>
      </x:c>
    </x:row>
    <x:row r="61" ht="23" customHeight="1">
      <x:c r="A61" s="16" t="n">
        <x:f>55</x:f>
        <x:v>55</x:v>
      </x:c>
      <x:c r="B61" s="22" t="n">
        <x:f>D60*Eingaben!B19/12</x:f>
        <x:v>2115.674851702714</x:v>
      </x:c>
      <x:c r="C61" s="22" t="n">
        <x:f>MIN(D60+B61,Finanzierung!B21)</x:f>
        <x:v>3004.7000000000003</x:v>
      </x:c>
      <x:c r="D61" s="22" t="n">
        <x:f>MAX(0,D60+B61-C61)</x:f>
        <x:v>676126.9273965714</x:v>
      </x:c>
      <x:c r="E61" s="22" t="n">
        <x:f>G60*Eingaben!B15/12</x:f>
        <x:v>182.5</x:v>
      </x:c>
      <x:c r="F61" s="22" t="n">
        <x:f>IF(A61&lt;=Eingaben!B17*12,E61,MIN(G60+E61,Finanzierung!B25))</x:f>
        <x:v>182.5</x:v>
      </x:c>
      <x:c r="G61" s="22" t="n">
        <x:f>MAX(0,G60+E61-F61)</x:f>
        <x:v>100000</x:v>
      </x:c>
    </x:row>
    <x:row r="62" ht="23" customHeight="1">
      <x:c r="A62" s="16" t="n">
        <x:f>56</x:f>
        <x:v>56</x:v>
      </x:c>
      <x:c r="B62" s="22" t="n">
        <x:f>D61*Eingaben!B19/12</x:f>
        <x:v>2112.8966481142857</x:v>
      </x:c>
      <x:c r="C62" s="22" t="n">
        <x:f>MIN(D61+B62,Finanzierung!B21)</x:f>
        <x:v>3004.7000000000003</x:v>
      </x:c>
      <x:c r="D62" s="22" t="n">
        <x:f>MAX(0,D61+B62-C62)</x:f>
        <x:v>675235.1240446857</x:v>
      </x:c>
      <x:c r="E62" s="22" t="n">
        <x:f>G61*Eingaben!B15/12</x:f>
        <x:v>182.5</x:v>
      </x:c>
      <x:c r="F62" s="22" t="n">
        <x:f>IF(A62&lt;=Eingaben!B17*12,E62,MIN(G61+E62,Finanzierung!B25))</x:f>
        <x:v>182.5</x:v>
      </x:c>
      <x:c r="G62" s="22" t="n">
        <x:f>MAX(0,G61+E62-F62)</x:f>
        <x:v>100000</x:v>
      </x:c>
    </x:row>
    <x:row r="63" ht="23" customHeight="1">
      <x:c r="A63" s="16" t="n">
        <x:f>57</x:f>
        <x:v>57</x:v>
      </x:c>
      <x:c r="B63" s="22" t="n">
        <x:f>D62*Eingaben!B19/12</x:f>
        <x:v>2110.1097626396427</x:v>
      </x:c>
      <x:c r="C63" s="22" t="n">
        <x:f>MIN(D62+B63,Finanzierung!B21)</x:f>
        <x:v>3004.7000000000003</x:v>
      </x:c>
      <x:c r="D63" s="22" t="n">
        <x:f>MAX(0,D62+B63-C63)</x:f>
        <x:v>674340.5338073254</x:v>
      </x:c>
      <x:c r="E63" s="22" t="n">
        <x:f>G62*Eingaben!B15/12</x:f>
        <x:v>182.5</x:v>
      </x:c>
      <x:c r="F63" s="22" t="n">
        <x:f>IF(A63&lt;=Eingaben!B17*12,E63,MIN(G62+E63,Finanzierung!B25))</x:f>
        <x:v>182.5</x:v>
      </x:c>
      <x:c r="G63" s="22" t="n">
        <x:f>MAX(0,G62+E63-F63)</x:f>
        <x:v>100000</x:v>
      </x:c>
    </x:row>
    <x:row r="64" ht="23" customHeight="1">
      <x:c r="A64" s="16" t="n">
        <x:f>58</x:f>
        <x:v>58</x:v>
      </x:c>
      <x:c r="B64" s="22" t="n">
        <x:f>D63*Eingaben!B19/12</x:f>
        <x:v>2107.314168147892</x:v>
      </x:c>
      <x:c r="C64" s="22" t="n">
        <x:f>MIN(D63+B64,Finanzierung!B21)</x:f>
        <x:v>3004.7000000000003</x:v>
      </x:c>
      <x:c r="D64" s="22" t="n">
        <x:f>MAX(0,D63+B64-C64)</x:f>
        <x:v>673443.1479754733</x:v>
      </x:c>
      <x:c r="E64" s="22" t="n">
        <x:f>G63*Eingaben!B15/12</x:f>
        <x:v>182.5</x:v>
      </x:c>
      <x:c r="F64" s="22" t="n">
        <x:f>IF(A64&lt;=Eingaben!B17*12,E64,MIN(G63+E64,Finanzierung!B25))</x:f>
        <x:v>182.5</x:v>
      </x:c>
      <x:c r="G64" s="22" t="n">
        <x:f>MAX(0,G63+E64-F64)</x:f>
        <x:v>100000</x:v>
      </x:c>
    </x:row>
    <x:row r="65" ht="23" customHeight="1">
      <x:c r="A65" s="16" t="n">
        <x:f>59</x:f>
        <x:v>59</x:v>
      </x:c>
      <x:c r="B65" s="22" t="n">
        <x:f>D64*Eingaben!B19/12</x:f>
        <x:v>2104.509837423354</x:v>
      </x:c>
      <x:c r="C65" s="22" t="n">
        <x:f>MIN(D64+B65,Finanzierung!B21)</x:f>
        <x:v>3004.7000000000003</x:v>
      </x:c>
      <x:c r="D65" s="22" t="n">
        <x:f>MAX(0,D64+B65-C65)</x:f>
        <x:v>672542.9578128967</x:v>
      </x:c>
      <x:c r="E65" s="22" t="n">
        <x:f>G64*Eingaben!B15/12</x:f>
        <x:v>182.5</x:v>
      </x:c>
      <x:c r="F65" s="22" t="n">
        <x:f>IF(A65&lt;=Eingaben!B17*12,E65,MIN(G64+E65,Finanzierung!B25))</x:f>
        <x:v>182.5</x:v>
      </x:c>
      <x:c r="G65" s="22" t="n">
        <x:f>MAX(0,G64+E65-F65)</x:f>
        <x:v>100000</x:v>
      </x:c>
    </x:row>
    <x:row r="66" ht="23" customHeight="1">
      <x:c r="A66" s="16" t="n">
        <x:f>60</x:f>
        <x:v>60</x:v>
      </x:c>
      <x:c r="B66" s="22" t="n">
        <x:f>D65*Eingaben!B19/12</x:f>
        <x:v>2101.696743165302</x:v>
      </x:c>
      <x:c r="C66" s="22" t="n">
        <x:f>MIN(D65+B66,Finanzierung!B21)</x:f>
        <x:v>3004.7000000000003</x:v>
      </x:c>
      <x:c r="D66" s="22" t="n">
        <x:f>MAX(0,D65+B66-C66)</x:f>
        <x:v>671639.954556062</x:v>
      </x:c>
      <x:c r="E66" s="22" t="n">
        <x:f>G65*Eingaben!B15/12</x:f>
        <x:v>182.5</x:v>
      </x:c>
      <x:c r="F66" s="22" t="n">
        <x:f>IF(A66&lt;=Eingaben!B17*12,E66,MIN(G65+E66,Finanzierung!B25))</x:f>
        <x:v>182.5</x:v>
      </x:c>
      <x:c r="G66" s="22" t="n">
        <x:f>MAX(0,G65+E66-F66)</x:f>
        <x:v>100000</x:v>
      </x:c>
    </x:row>
    <x:row r="67" ht="23" customHeight="1">
      <x:c r="A67" s="16" t="n">
        <x:f>61</x:f>
        <x:v>61</x:v>
      </x:c>
      <x:c r="B67" s="22" t="n">
        <x:f>D66*Eingaben!B19/12</x:f>
        <x:v>2098.8748579876938</x:v>
      </x:c>
      <x:c r="C67" s="22" t="n">
        <x:f>MIN(D66+B67,Finanzierung!B21)</x:f>
        <x:v>3004.7000000000003</x:v>
      </x:c>
      <x:c r="D67" s="22" t="n">
        <x:f>MAX(0,D66+B67-C67)</x:f>
        <x:v>670734.1294140498</x:v>
      </x:c>
      <x:c r="E67" s="22" t="n">
        <x:f>G66*Eingaben!B15/12</x:f>
        <x:v>182.5</x:v>
      </x:c>
      <x:c r="F67" s="22" t="n">
        <x:f>IF(A67&lt;=Eingaben!B17*12,E67,MIN(G66+E67,Finanzierung!B25))</x:f>
        <x:v>379.19298234971245</x:v>
      </x:c>
      <x:c r="G67" s="22" t="n">
        <x:f>MAX(0,G66+E67-F67)</x:f>
        <x:v>99803.30701765028</x:v>
      </x:c>
    </x:row>
    <x:row r="68" ht="23" customHeight="1">
      <x:c r="A68" s="16" t="n">
        <x:f>62</x:f>
        <x:v>62</x:v>
      </x:c>
      <x:c r="B68" s="22" t="n">
        <x:f>D67*Eingaben!B19/12</x:f>
        <x:v>2096.0441544189057</x:v>
      </x:c>
      <x:c r="C68" s="22" t="n">
        <x:f>MIN(D67+B68,Finanzierung!B21)</x:f>
        <x:v>3004.7000000000003</x:v>
      </x:c>
      <x:c r="D68" s="22" t="n">
        <x:f>MAX(0,D67+B68-C68)</x:f>
        <x:v>669825.4735684687</x:v>
      </x:c>
      <x:c r="E68" s="22" t="n">
        <x:f>G67*Eingaben!B15/12</x:f>
        <x:v>182.14103530721175</x:v>
      </x:c>
      <x:c r="F68" s="22" t="n">
        <x:f>IF(A68&lt;=Eingaben!B17*12,E68,MIN(G67+E68,Finanzierung!B25))</x:f>
        <x:v>379.19298234971245</x:v>
      </x:c>
      <x:c r="G68" s="22" t="n">
        <x:f>MAX(0,G67+E68-F68)</x:f>
        <x:v>99606.25507060777</x:v>
      </x:c>
    </x:row>
    <x:row r="69" ht="23" customHeight="1">
      <x:c r="A69" s="16" t="n">
        <x:f>63</x:f>
        <x:v>63</x:v>
      </x:c>
      <x:c r="B69" s="22" t="n">
        <x:f>D68*Eingaben!B19/12</x:f>
        <x:v>2093.204604901465</x:v>
      </x:c>
      <x:c r="C69" s="22" t="n">
        <x:f>MIN(D68+B69,Finanzierung!B21)</x:f>
        <x:v>3004.7000000000003</x:v>
      </x:c>
      <x:c r="D69" s="22" t="n">
        <x:f>MAX(0,D68+B69-C69)</x:f>
        <x:v>668913.9781733702</x:v>
      </x:c>
      <x:c r="E69" s="22" t="n">
        <x:f>G68*Eingaben!B15/12</x:f>
        <x:v>181.7814155038592</x:v>
      </x:c>
      <x:c r="F69" s="22" t="n">
        <x:f>IF(A69&lt;=Eingaben!B17*12,E69,MIN(G68+E69,Finanzierung!B25))</x:f>
        <x:v>379.19298234971245</x:v>
      </x:c>
      <x:c r="G69" s="22" t="n">
        <x:f>MAX(0,G68+E69-F69)</x:f>
        <x:v>99408.84350376192</x:v>
      </x:c>
    </x:row>
    <x:row r="70" ht="23" customHeight="1">
      <x:c r="A70" s="16" t="n">
        <x:f>64</x:f>
        <x:v>64</x:v>
      </x:c>
      <x:c r="B70" s="22" t="n">
        <x:f>D69*Eingaben!B19/12</x:f>
        <x:v>2090.356181791782</x:v>
      </x:c>
      <x:c r="C70" s="22" t="n">
        <x:f>MIN(D69+B70,Finanzierung!B21)</x:f>
        <x:v>3004.7000000000003</x:v>
      </x:c>
      <x:c r="D70" s="22" t="n">
        <x:f>MAX(0,D69+B70-C70)</x:f>
        <x:v>667999.634355162</x:v>
      </x:c>
      <x:c r="E70" s="22" t="n">
        <x:f>G69*Eingaben!B15/12</x:f>
        <x:v>181.4211393943655</x:v>
      </x:c>
      <x:c r="F70" s="22" t="n">
        <x:f>IF(A70&lt;=Eingaben!B17*12,E70,MIN(G69+E70,Finanzierung!B25))</x:f>
        <x:v>379.19298234971245</x:v>
      </x:c>
      <x:c r="G70" s="22" t="n">
        <x:f>MAX(0,G69+E70-F70)</x:f>
        <x:v>99211.07166080657</x:v>
      </x:c>
    </x:row>
    <x:row r="71" ht="23" customHeight="1">
      <x:c r="A71" s="16" t="n">
        <x:f>65</x:f>
        <x:v>65</x:v>
      </x:c>
      <x:c r="B71" s="22" t="n">
        <x:f>D70*Eingaben!B19/12</x:f>
        <x:v>2087.498857359881</x:v>
      </x:c>
      <x:c r="C71" s="22" t="n">
        <x:f>MIN(D70+B71,Finanzierung!B21)</x:f>
        <x:v>3004.7000000000003</x:v>
      </x:c>
      <x:c r="D71" s="22" t="n">
        <x:f>MAX(0,D70+B71-C71)</x:f>
        <x:v>667082.433212522</x:v>
      </x:c>
      <x:c r="E71" s="22" t="n">
        <x:f>G70*Eingaben!B15/12</x:f>
        <x:v>181.06020578097198</x:v>
      </x:c>
      <x:c r="F71" s="22" t="n">
        <x:f>IF(A71&lt;=Eingaben!B17*12,E71,MIN(G70+E71,Finanzierung!B25))</x:f>
        <x:v>379.19298234971245</x:v>
      </x:c>
      <x:c r="G71" s="22" t="n">
        <x:f>MAX(0,G70+E71-F71)</x:f>
        <x:v>99012.93888423782</x:v>
      </x:c>
    </x:row>
    <x:row r="72" ht="23" customHeight="1">
      <x:c r="A72" s="16" t="n">
        <x:f>66</x:f>
        <x:v>66</x:v>
      </x:c>
      <x:c r="B72" s="22" t="n">
        <x:f>D71*Eingaben!B19/12</x:f>
        <x:v>2084.632603789131</x:v>
      </x:c>
      <x:c r="C72" s="22" t="n">
        <x:f>MIN(D71+B72,Finanzierung!B21)</x:f>
        <x:v>3004.7000000000003</x:v>
      </x:c>
      <x:c r="D72" s="22" t="n">
        <x:f>MAX(0,D71+B72-C72)</x:f>
        <x:v>666162.3658163111</x:v>
      </x:c>
      <x:c r="E72" s="22" t="n">
        <x:f>G71*Eingaben!B15/12</x:f>
        <x:v>180.698613463734</x:v>
      </x:c>
      <x:c r="F72" s="22" t="n">
        <x:f>IF(A72&lt;=Eingaben!B17*12,E72,MIN(G71+E72,Finanzierung!B25))</x:f>
        <x:v>379.19298234971245</x:v>
      </x:c>
      <x:c r="G72" s="22" t="n">
        <x:f>MAX(0,G71+E72-F72)</x:f>
        <x:v>98814.44451535185</x:v>
      </x:c>
    </x:row>
    <x:row r="73" ht="23" customHeight="1">
      <x:c r="A73" s="16" t="n">
        <x:f>67</x:f>
        <x:v>67</x:v>
      </x:c>
      <x:c r="B73" s="22" t="n">
        <x:f>D72*Eingaben!B19/12</x:f>
        <x:v>2081.757393175972</x:v>
      </x:c>
      <x:c r="C73" s="22" t="n">
        <x:f>MIN(D72+B73,Finanzierung!B21)</x:f>
        <x:v>3004.7000000000003</x:v>
      </x:c>
      <x:c r="D73" s="22" t="n">
        <x:f>MAX(0,D72+B73-C73)</x:f>
        <x:v>665239.4232094871</x:v>
      </x:c>
      <x:c r="E73" s="22" t="n">
        <x:f>G72*Eingaben!B15/12</x:f>
        <x:v>180.3363612405171</x:v>
      </x:c>
      <x:c r="F73" s="22" t="n">
        <x:f>IF(A73&lt;=Eingaben!B17*12,E73,MIN(G72+E73,Finanzierung!B25))</x:f>
        <x:v>379.19298234971245</x:v>
      </x:c>
      <x:c r="G73" s="22" t="n">
        <x:f>MAX(0,G72+E73-F73)</x:f>
        <x:v>98615.58789424265</x:v>
      </x:c>
    </x:row>
    <x:row r="74" ht="23" customHeight="1">
      <x:c r="A74" s="16" t="n">
        <x:f>68</x:f>
        <x:v>68</x:v>
      </x:c>
      <x:c r="B74" s="22" t="n">
        <x:f>D73*Eingaben!B19/12</x:f>
        <x:v>2078.8731975296473</x:v>
      </x:c>
      <x:c r="C74" s="22" t="n">
        <x:f>MIN(D73+B74,Finanzierung!B21)</x:f>
        <x:v>3004.7000000000003</x:v>
      </x:c>
      <x:c r="D74" s="22" t="n">
        <x:f>MAX(0,D73+B74-C74)</x:f>
        <x:v>664313.5964070169</x:v>
      </x:c>
      <x:c r="E74" s="22" t="n">
        <x:f>G73*Eingaben!B15/12</x:f>
        <x:v>179.97344790699285</x:v>
      </x:c>
      <x:c r="F74" s="22" t="n">
        <x:f>IF(A74&lt;=Eingaben!B17*12,E74,MIN(G73+E74,Finanzierung!B25))</x:f>
        <x:v>379.19298234971245</x:v>
      </x:c>
      <x:c r="G74" s="22" t="n">
        <x:f>MAX(0,G73+E74-F74)</x:f>
        <x:v>98416.36835979992</x:v>
      </x:c>
    </x:row>
    <x:row r="75" ht="23" customHeight="1">
      <x:c r="A75" s="16" t="n">
        <x:f>69</x:f>
        <x:v>69</x:v>
      </x:c>
      <x:c r="B75" s="22" t="n">
        <x:f>D74*Eingaben!B19/12</x:f>
        <x:v>2075.9799887719278</x:v>
      </x:c>
      <x:c r="C75" s="22" t="n">
        <x:f>MIN(D74+B75,Finanzierung!B21)</x:f>
        <x:v>3004.7000000000003</x:v>
      </x:c>
      <x:c r="D75" s="22" t="n">
        <x:f>MAX(0,D74+B75-C75)</x:f>
        <x:v>663384.8763957889</x:v>
      </x:c>
      <x:c r="E75" s="22" t="n">
        <x:f>G74*Eingaben!B15/12</x:f>
        <x:v>179.60987225663484</x:v>
      </x:c>
      <x:c r="F75" s="22" t="n">
        <x:f>IF(A75&lt;=Eingaben!B17*12,E75,MIN(G74+E75,Finanzierung!B25))</x:f>
        <x:v>379.19298234971245</x:v>
      </x:c>
      <x:c r="G75" s="22" t="n">
        <x:f>MAX(0,G74+E75-F75)</x:f>
        <x:v>98216.78524970684</x:v>
      </x:c>
    </x:row>
    <x:row r="76" ht="23" customHeight="1">
      <x:c r="A76" s="16" t="n">
        <x:f>70</x:f>
        <x:v>70</x:v>
      </x:c>
      <x:c r="B76" s="22" t="n">
        <x:f>D75*Eingaben!B19/12</x:f>
        <x:v>2073.0777387368403</x:v>
      </x:c>
      <x:c r="C76" s="22" t="n">
        <x:f>MIN(D75+B76,Finanzierung!B21)</x:f>
        <x:v>3004.7000000000003</x:v>
      </x:c>
      <x:c r="D76" s="22" t="n">
        <x:f>MAX(0,D75+B76-C76)</x:f>
        <x:v>662453.2541345258</x:v>
      </x:c>
      <x:c r="E76" s="22" t="n">
        <x:f>G75*Eingaben!B15/12</x:f>
        <x:v>179.24563308071495</x:v>
      </x:c>
      <x:c r="F76" s="22" t="n">
        <x:f>IF(A76&lt;=Eingaben!B17*12,E76,MIN(G75+E76,Finanzierung!B25))</x:f>
        <x:v>379.19298234971245</x:v>
      </x:c>
      <x:c r="G76" s="22" t="n">
        <x:f>MAX(0,G75+E76-F76)</x:f>
        <x:v>98016.83790043784</x:v>
      </x:c>
    </x:row>
    <x:row r="77" ht="23" customHeight="1">
      <x:c r="A77" s="16" t="n">
        <x:f>71</x:f>
        <x:v>71</x:v>
      </x:c>
      <x:c r="B77" s="22" t="n">
        <x:f>D76*Eingaben!B19/12</x:f>
        <x:v>2070.166419170393</x:v>
      </x:c>
      <x:c r="C77" s="22" t="n">
        <x:f>MIN(D76+B77,Finanzierung!B21)</x:f>
        <x:v>3004.7000000000003</x:v>
      </x:c>
      <x:c r="D77" s="22" t="n">
        <x:f>MAX(0,D76+B77-C77)</x:f>
        <x:v>661518.7205536963</x:v>
      </x:c>
      <x:c r="E77" s="22" t="n">
        <x:f>G76*Eingaben!B15/12</x:f>
        <x:v>178.88072916829904</x:v>
      </x:c>
      <x:c r="F77" s="22" t="n">
        <x:f>IF(A77&lt;=Eingaben!B17*12,E77,MIN(G76+E77,Finanzierung!B25))</x:f>
        <x:v>379.19298234971245</x:v>
      </x:c>
      <x:c r="G77" s="22" t="n">
        <x:f>MAX(0,G76+E77-F77)</x:f>
        <x:v>97816.52564725642</x:v>
      </x:c>
    </x:row>
    <x:row r="78" ht="23" customHeight="1">
      <x:c r="A78" s="16" t="n">
        <x:f>72</x:f>
        <x:v>72</x:v>
      </x:c>
      <x:c r="B78" s="22" t="n">
        <x:f>D77*Eingaben!B19/12</x:f>
        <x:v>2067.2460017303006</x:v>
      </x:c>
      <x:c r="C78" s="22" t="n">
        <x:f>MIN(D77+B78,Finanzierung!B21)</x:f>
        <x:v>3004.7000000000003</x:v>
      </x:c>
      <x:c r="D78" s="22" t="n">
        <x:f>MAX(0,D77+B78-C78)</x:f>
        <x:v>660581.2665554266</x:v>
      </x:c>
      <x:c r="E78" s="22" t="n">
        <x:f>G77*Eingaben!B15/12</x:f>
        <x:v>178.51515930624296</x:v>
      </x:c>
      <x:c r="F78" s="22" t="n">
        <x:f>IF(A78&lt;=Eingaben!B17*12,E78,MIN(G77+E78,Finanzierung!B25))</x:f>
        <x:v>379.19298234971245</x:v>
      </x:c>
      <x:c r="G78" s="22" t="n">
        <x:f>MAX(0,G77+E78-F78)</x:f>
        <x:v>97615.84782421295</x:v>
      </x:c>
    </x:row>
    <x:row r="79" ht="23" customHeight="1">
      <x:c r="A79" s="16" t="n">
        <x:f>73</x:f>
        <x:v>73</x:v>
      </x:c>
      <x:c r="B79" s="22" t="n">
        <x:f>D78*Eingaben!B19/12</x:f>
        <x:v>2064.316457985708</x:v>
      </x:c>
      <x:c r="C79" s="22" t="n">
        <x:f>MIN(D78+B79,Finanzierung!B21)</x:f>
        <x:v>3004.7000000000003</x:v>
      </x:c>
      <x:c r="D79" s="22" t="n">
        <x:f>MAX(0,D78+B79-C79)</x:f>
        <x:v>659640.8830134124</x:v>
      </x:c>
      <x:c r="E79" s="22" t="n">
        <x:f>G78*Eingaben!B15/12</x:f>
        <x:v>178.1489222791886</x:v>
      </x:c>
      <x:c r="F79" s="22" t="n">
        <x:f>IF(A79&lt;=Eingaben!B17*12,E79,MIN(G78+E79,Finanzierung!B25))</x:f>
        <x:v>379.19298234971245</x:v>
      </x:c>
      <x:c r="G79" s="22" t="n">
        <x:f>MAX(0,G78+E79-F79)</x:f>
        <x:v>97414.80376414242</x:v>
      </x:c>
    </x:row>
    <x:row r="80" ht="23" customHeight="1">
      <x:c r="A80" s="16" t="n">
        <x:f>74</x:f>
        <x:v>74</x:v>
      </x:c>
      <x:c r="B80" s="22" t="n">
        <x:f>D79*Eingaben!B19/12</x:f>
        <x:v>2061.3777594169137</x:v>
      </x:c>
      <x:c r="C80" s="22" t="n">
        <x:f>MIN(D79+B80,Finanzierung!B21)</x:f>
        <x:v>3004.7000000000003</x:v>
      </x:c>
      <x:c r="D80" s="22" t="n">
        <x:f>MAX(0,D79+B80-C80)</x:f>
        <x:v>658697.5607728293</x:v>
      </x:c>
      <x:c r="E80" s="22" t="n">
        <x:f>G79*Eingaben!B15/12</x:f>
        <x:v>177.7820168695599</x:v>
      </x:c>
      <x:c r="F80" s="22" t="n">
        <x:f>IF(A80&lt;=Eingaben!B17*12,E80,MIN(G79+E80,Finanzierung!B25))</x:f>
        <x:v>379.19298234971245</x:v>
      </x:c>
      <x:c r="G80" s="22" t="n">
        <x:f>MAX(0,G79+E80-F80)</x:f>
        <x:v>97213.39279866226</x:v>
      </x:c>
    </x:row>
    <x:row r="81" ht="23" customHeight="1">
      <x:c r="A81" s="16" t="n">
        <x:f>75</x:f>
        <x:v>75</x:v>
      </x:c>
      <x:c r="B81" s="22" t="n">
        <x:f>D80*Eingaben!B19/12</x:f>
        <x:v>2058.4298774150916</x:v>
      </x:c>
      <x:c r="C81" s="22" t="n">
        <x:f>MIN(D80+B81,Finanzierung!B21)</x:f>
        <x:v>3004.7000000000003</x:v>
      </x:c>
      <x:c r="D81" s="22" t="n">
        <x:f>MAX(0,D80+B81-C81)</x:f>
        <x:v>657751.2906502445</x:v>
      </x:c>
      <x:c r="E81" s="22" t="n">
        <x:f>G80*Eingaben!B15/12</x:f>
        <x:v>177.41444185755861</x:v>
      </x:c>
      <x:c r="F81" s="22" t="n">
        <x:f>IF(A81&lt;=Eingaben!B17*12,E81,MIN(G80+E81,Finanzierung!B25))</x:f>
        <x:v>379.19298234971245</x:v>
      </x:c>
      <x:c r="G81" s="22" t="n">
        <x:f>MAX(0,G80+E81-F81)</x:f>
        <x:v>97011.6142581701</x:v>
      </x:c>
    </x:row>
    <x:row r="82" ht="23" customHeight="1">
      <x:c r="A82" s="16" t="n">
        <x:f>76</x:f>
        <x:v>76</x:v>
      </x:c>
      <x:c r="B82" s="22" t="n">
        <x:f>D81*Eingaben!B19/12</x:f>
        <x:v>2055.472783282014</x:v>
      </x:c>
      <x:c r="C82" s="22" t="n">
        <x:f>MIN(D81+B82,Finanzierung!B21)</x:f>
        <x:v>3004.7000000000003</x:v>
      </x:c>
      <x:c r="D82" s="22" t="n">
        <x:f>MAX(0,D81+B82-C82)</x:f>
        <x:v>656802.0634335265</x:v>
      </x:c>
      <x:c r="E82" s="22" t="n">
        <x:f>G81*Eingaben!B15/12</x:f>
        <x:v>177.04619602116043</x:v>
      </x:c>
      <x:c r="F82" s="22" t="n">
        <x:f>IF(A82&lt;=Eingaben!B17*12,E82,MIN(G81+E82,Finanzierung!B25))</x:f>
        <x:v>379.19298234971245</x:v>
      </x:c>
      <x:c r="G82" s="22" t="n">
        <x:f>MAX(0,G81+E82-F82)</x:f>
        <x:v>96809.46747184153</x:v>
      </x:c>
    </x:row>
    <x:row r="83" ht="23" customHeight="1">
      <x:c r="A83" s="16" t="n">
        <x:f>77</x:f>
        <x:v>77</x:v>
      </x:c>
      <x:c r="B83" s="22" t="n">
        <x:f>D82*Eingaben!B19/12</x:f>
        <x:v>2052.5064482297703</x:v>
      </x:c>
      <x:c r="C83" s="22" t="n">
        <x:f>MIN(D82+B83,Finanzierung!B21)</x:f>
        <x:v>3004.7000000000003</x:v>
      </x:c>
      <x:c r="D83" s="22" t="n">
        <x:f>MAX(0,D82+B83-C83)</x:f>
        <x:v>655849.8698817564</x:v>
      </x:c>
      <x:c r="E83" s="22" t="n">
        <x:f>G82*Eingaben!B15/12</x:f>
        <x:v>176.6772781361108</x:v>
      </x:c>
      <x:c r="F83" s="22" t="n">
        <x:f>IF(A83&lt;=Eingaben!B17*12,E83,MIN(G82+E83,Finanzierung!B25))</x:f>
        <x:v>379.19298234971245</x:v>
      </x:c>
      <x:c r="G83" s="22" t="n">
        <x:f>MAX(0,G82+E83-F83)</x:f>
        <x:v>96606.95176762792</x:v>
      </x:c>
    </x:row>
    <x:row r="84" ht="23" customHeight="1">
      <x:c r="A84" s="16" t="n">
        <x:f>78</x:f>
        <x:v>78</x:v>
      </x:c>
      <x:c r="B84" s="22" t="n">
        <x:f>D83*Eingaben!B19/12</x:f>
        <x:v>2049.5308433804885</x:v>
      </x:c>
      <x:c r="C84" s="22" t="n">
        <x:f>MIN(D83+B84,Finanzierung!B21)</x:f>
        <x:v>3004.7000000000003</x:v>
      </x:c>
      <x:c r="D84" s="22" t="n">
        <x:f>MAX(0,D83+B84-C84)</x:f>
        <x:v>654894.7007251369</x:v>
      </x:c>
      <x:c r="E84" s="22" t="n">
        <x:f>G83*Eingaben!B15/12</x:f>
        <x:v>176.30768697592097</x:v>
      </x:c>
      <x:c r="F84" s="22" t="n">
        <x:f>IF(A84&lt;=Eingaben!B17*12,E84,MIN(G83+E84,Finanzierung!B25))</x:f>
        <x:v>379.19298234971245</x:v>
      </x:c>
      <x:c r="G84" s="22" t="n">
        <x:f>MAX(0,G83+E84-F84)</x:f>
        <x:v>96404.06647225413</x:v>
      </x:c>
    </x:row>
    <x:row r="85" ht="23" customHeight="1">
      <x:c r="A85" s="16" t="n">
        <x:f>79</x:f>
        <x:v>79</x:v>
      </x:c>
      <x:c r="B85" s="22" t="n">
        <x:f>D84*Eingaben!B19/12</x:f>
        <x:v>2046.5459397660527</x:v>
      </x:c>
      <x:c r="C85" s="22" t="n">
        <x:f>MIN(D84+B85,Finanzierung!B21)</x:f>
        <x:v>3004.7000000000003</x:v>
      </x:c>
      <x:c r="D85" s="22" t="n">
        <x:f>MAX(0,D84+B85-C85)</x:f>
        <x:v>653936.546664903</x:v>
      </x:c>
      <x:c r="E85" s="22" t="n">
        <x:f>G84*Eingaben!B15/12</x:f>
        <x:v>175.93742131186377</x:v>
      </x:c>
      <x:c r="F85" s="22" t="n">
        <x:f>IF(A85&lt;=Eingaben!B17*12,E85,MIN(G84+E85,Finanzierung!B25))</x:f>
        <x:v>379.19298234971245</x:v>
      </x:c>
      <x:c r="G85" s="22" t="n">
        <x:f>MAX(0,G84+E85-F85)</x:f>
        <x:v>96200.81091121626</x:v>
      </x:c>
    </x:row>
    <x:row r="86" ht="23" customHeight="1">
      <x:c r="A86" s="16" t="n">
        <x:f>80</x:f>
        <x:v>80</x:v>
      </x:c>
      <x:c r="B86" s="22" t="n">
        <x:f>D85*Eingaben!B19/12</x:f>
        <x:v>2043.5517083278219</x:v>
      </x:c>
      <x:c r="C86" s="22" t="n">
        <x:f>MIN(D85+B86,Finanzierung!B21)</x:f>
        <x:v>3004.7000000000003</x:v>
      </x:c>
      <x:c r="D86" s="22" t="n">
        <x:f>MAX(0,D85+B86-C86)</x:f>
        <x:v>652975.398373231</x:v>
      </x:c>
      <x:c r="E86" s="22" t="n">
        <x:f>G85*Eingaben!B15/12</x:f>
        <x:v>175.5664799129697</x:v>
      </x:c>
      <x:c r="F86" s="22" t="n">
        <x:f>IF(A86&lt;=Eingaben!B17*12,E86,MIN(G85+E86,Finanzierung!B25))</x:f>
        <x:v>379.19298234971245</x:v>
      </x:c>
      <x:c r="G86" s="22" t="n">
        <x:f>MAX(0,G85+E86-F86)</x:f>
        <x:v>95997.18440877952</x:v>
      </x:c>
    </x:row>
    <x:row r="87" ht="23" customHeight="1">
      <x:c r="A87" s="16" t="n">
        <x:f>81</x:f>
        <x:v>81</x:v>
      </x:c>
      <x:c r="B87" s="22" t="n">
        <x:f>D86*Eingaben!B19/12</x:f>
        <x:v>2040.5481199163466</x:v>
      </x:c>
      <x:c r="C87" s="22" t="n">
        <x:f>MIN(D86+B87,Finanzierung!B21)</x:f>
        <x:v>3004.7000000000003</x:v>
      </x:c>
      <x:c r="D87" s="22" t="n">
        <x:f>MAX(0,D86+B87-C87)</x:f>
        <x:v>652011.2464931473</x:v>
      </x:c>
      <x:c r="E87" s="22" t="n">
        <x:f>G86*Eingaben!B15/12</x:f>
        <x:v>175.19486154602262</x:v>
      </x:c>
      <x:c r="F87" s="22" t="n">
        <x:f>IF(A87&lt;=Eingaben!B17*12,E87,MIN(G86+E87,Finanzierung!B25))</x:f>
        <x:v>379.19298234971245</x:v>
      </x:c>
      <x:c r="G87" s="22" t="n">
        <x:f>MAX(0,G86+E87-F87)</x:f>
        <x:v>95793.18628797583</x:v>
      </x:c>
    </x:row>
    <x:row r="88" ht="23" customHeight="1">
      <x:c r="A88" s="16" t="n">
        <x:f>82</x:f>
        <x:v>82</x:v>
      </x:c>
      <x:c r="B88" s="22" t="n">
        <x:f>D87*Eingaben!B19/12</x:f>
        <x:v>2037.5351452910854</x:v>
      </x:c>
      <x:c r="C88" s="22" t="n">
        <x:f>MIN(D87+B88,Finanzierung!B21)</x:f>
        <x:v>3004.7000000000003</x:v>
      </x:c>
      <x:c r="D88" s="22" t="n">
        <x:f>MAX(0,D87+B88-C88)</x:f>
        <x:v>651044.0816384385</x:v>
      </x:c>
      <x:c r="E88" s="22" t="n">
        <x:f>G87*Eingaben!B15/12</x:f>
        <x:v>174.82256497555588</x:v>
      </x:c>
      <x:c r="F88" s="22" t="n">
        <x:f>IF(A88&lt;=Eingaben!B17*12,E88,MIN(G87+E88,Finanzierung!B25))</x:f>
        <x:v>379.19298234971245</x:v>
      </x:c>
      <x:c r="G88" s="22" t="n">
        <x:f>MAX(0,G87+E88-F88)</x:f>
        <x:v>95588.81587060167</x:v>
      </x:c>
    </x:row>
    <x:row r="89" ht="23" customHeight="1">
      <x:c r="A89" s="16" t="n">
        <x:f>83</x:f>
        <x:v>83</x:v>
      </x:c>
      <x:c r="B89" s="22" t="n">
        <x:f>D88*Eingaben!B19/12</x:f>
        <x:v>2034.5127551201203</x:v>
      </x:c>
      <x:c r="C89" s="22" t="n">
        <x:f>MIN(D88+B89,Finanzierung!B21)</x:f>
        <x:v>3004.7000000000003</x:v>
      </x:c>
      <x:c r="D89" s="22" t="n">
        <x:f>MAX(0,D88+B89-C89)</x:f>
        <x:v>650073.8943935587</x:v>
      </x:c>
      <x:c r="E89" s="22" t="n">
        <x:f>G88*Eingaben!B15/12</x:f>
        <x:v>174.44958896384802</x:v>
      </x:c>
      <x:c r="F89" s="22" t="n">
        <x:f>IF(A89&lt;=Eingaben!B17*12,E89,MIN(G88+E89,Finanzierung!B25))</x:f>
        <x:v>379.19298234971245</x:v>
      </x:c>
      <x:c r="G89" s="22" t="n">
        <x:f>MAX(0,G88+E89-F89)</x:f>
        <x:v>95384.0724772158</x:v>
      </x:c>
    </x:row>
    <x:row r="90" ht="23" customHeight="1">
      <x:c r="A90" s="16" t="n">
        <x:f>84</x:f>
        <x:v>84</x:v>
      </x:c>
      <x:c r="B90" s="22" t="n">
        <x:f>D89*Eingaben!B19/12</x:f>
        <x:v>2031.480919979871</x:v>
      </x:c>
      <x:c r="C90" s="22" t="n">
        <x:f>MIN(D89+B90,Finanzierung!B21)</x:f>
        <x:v>3004.7000000000003</x:v>
      </x:c>
      <x:c r="D90" s="22" t="n">
        <x:f>MAX(0,D89+B90-C90)</x:f>
        <x:v>649100.6753135386</x:v>
      </x:c>
      <x:c r="E90" s="22" t="n">
        <x:f>G89*Eingaben!B15/12</x:f>
        <x:v>174.07593227091886</x:v>
      </x:c>
      <x:c r="F90" s="22" t="n">
        <x:f>IF(A90&lt;=Eingaben!B17*12,E90,MIN(G89+E90,Finanzierung!B25))</x:f>
        <x:v>379.19298234971245</x:v>
      </x:c>
      <x:c r="G90" s="22" t="n">
        <x:f>MAX(0,G89+E90-F90)</x:f>
        <x:v>95178.955427137</x:v>
      </x:c>
    </x:row>
    <x:row r="91" ht="23" customHeight="1">
      <x:c r="A91" s="16" t="n">
        <x:f>85</x:f>
        <x:v>85</x:v>
      </x:c>
      <x:c r="B91" s="22" t="n">
        <x:f>D90*Eingaben!B19/12</x:f>
        <x:v>2028.439610354808</x:v>
      </x:c>
      <x:c r="C91" s="22" t="n">
        <x:f>MIN(D90+B91,Finanzierung!B21)</x:f>
        <x:v>3004.7000000000003</x:v>
      </x:c>
      <x:c r="D91" s="22" t="n">
        <x:f>MAX(0,D90+B91-C91)</x:f>
        <x:v>648124.4149238935</x:v>
      </x:c>
      <x:c r="E91" s="22" t="n">
        <x:f>G90*Eingaben!B15/12</x:f>
        <x:v>173.70159365452503</x:v>
      </x:c>
      <x:c r="F91" s="22" t="n">
        <x:f>IF(A91&lt;=Eingaben!B17*12,E91,MIN(G90+E91,Finanzierung!B25))</x:f>
        <x:v>379.19298234971245</x:v>
      </x:c>
      <x:c r="G91" s="22" t="n">
        <x:f>MAX(0,G90+E91-F91)</x:f>
        <x:v>94973.4640384418</x:v>
      </x:c>
    </x:row>
    <x:row r="92" ht="23" customHeight="1">
      <x:c r="A92" s="16" t="n">
        <x:f>86</x:f>
        <x:v>86</x:v>
      </x:c>
      <x:c r="B92" s="22" t="n">
        <x:f>D91*Eingaben!B19/12</x:f>
        <x:v>2025.3887966371674</x:v>
      </x:c>
      <x:c r="C92" s="22" t="n">
        <x:f>MIN(D91+B92,Finanzierung!B21)</x:f>
        <x:v>3004.7000000000003</x:v>
      </x:c>
      <x:c r="D92" s="22" t="n">
        <x:f>MAX(0,D91+B92-C92)</x:f>
        <x:v>647145.1037205308</x:v>
      </x:c>
      <x:c r="E92" s="22" t="n">
        <x:f>G91*Eingaben!B15/12</x:f>
        <x:v>173.32657187015627</x:v>
      </x:c>
      <x:c r="F92" s="22" t="n">
        <x:f>IF(A92&lt;=Eingaben!B17*12,E92,MIN(G91+E92,Finanzierung!B25))</x:f>
        <x:v>379.19298234971245</x:v>
      </x:c>
      <x:c r="G92" s="22" t="n">
        <x:f>MAX(0,G91+E92-F92)</x:f>
        <x:v>94767.59762796224</x:v>
      </x:c>
    </x:row>
    <x:row r="93" ht="23" customHeight="1">
      <x:c r="A93" s="16" t="n">
        <x:f>87</x:f>
        <x:v>87</x:v>
      </x:c>
      <x:c r="B93" s="22" t="n">
        <x:f>D92*Eingaben!B19/12</x:f>
        <x:v>2022.3284491266586</x:v>
      </x:c>
      <x:c r="C93" s="22" t="n">
        <x:f>MIN(D92+B93,Finanzierung!B21)</x:f>
        <x:v>3004.7000000000003</x:v>
      </x:c>
      <x:c r="D93" s="22" t="n">
        <x:f>MAX(0,D92+B93-C93)</x:f>
        <x:v>646162.7321696575</x:v>
      </x:c>
      <x:c r="E93" s="22" t="n">
        <x:f>G92*Eingaben!B15/12</x:f>
        <x:v>172.9508656710311</x:v>
      </x:c>
      <x:c r="F93" s="22" t="n">
        <x:f>IF(A93&lt;=Eingaben!B17*12,E93,MIN(G92+E93,Finanzierung!B25))</x:f>
        <x:v>379.19298234971245</x:v>
      </x:c>
      <x:c r="G93" s="22" t="n">
        <x:f>MAX(0,G92+E93-F93)</x:f>
        <x:v>94561.35551128355</x:v>
      </x:c>
    </x:row>
    <x:row r="94" ht="23" customHeight="1">
      <x:c r="A94" s="16" t="n">
        <x:f>88</x:f>
        <x:v>88</x:v>
      </x:c>
      <x:c r="B94" s="22" t="n">
        <x:f>D93*Eingaben!B19/12</x:f>
        <x:v>2019.2585380301796</x:v>
      </x:c>
      <x:c r="C94" s="22" t="n">
        <x:f>MIN(D93+B94,Finanzierung!B21)</x:f>
        <x:v>3004.7000000000003</x:v>
      </x:c>
      <x:c r="D94" s="22" t="n">
        <x:f>MAX(0,D93+B94-C94)</x:f>
        <x:v>645177.2907076877</x:v>
      </x:c>
      <x:c r="E94" s="22" t="n">
        <x:f>G93*Eingaben!B15/12</x:f>
        <x:v>172.57447380809245</x:v>
      </x:c>
      <x:c r="F94" s="22" t="n">
        <x:f>IF(A94&lt;=Eingaben!B17*12,E94,MIN(G93+E94,Finanzierung!B25))</x:f>
        <x:v>379.19298234971245</x:v>
      </x:c>
      <x:c r="G94" s="22" t="n">
        <x:f>MAX(0,G93+E94-F94)</x:f>
        <x:v>94354.73700274192</x:v>
      </x:c>
    </x:row>
    <x:row r="95" ht="23" customHeight="1">
      <x:c r="A95" s="16" t="n">
        <x:f>89</x:f>
        <x:v>89</x:v>
      </x:c>
      <x:c r="B95" s="22" t="n">
        <x:f>D94*Eingaben!B19/12</x:f>
        <x:v>2016.179033461524</x:v>
      </x:c>
      <x:c r="C95" s="22" t="n">
        <x:f>MIN(D94+B95,Finanzierung!B21)</x:f>
        <x:v>3004.7000000000003</x:v>
      </x:c>
      <x:c r="D95" s="22" t="n">
        <x:f>MAX(0,D94+B95-C95)</x:f>
        <x:v>644188.7697411493</x:v>
      </x:c>
      <x:c r="E95" s="22" t="n">
        <x:f>G94*Eingaben!B15/12</x:f>
        <x:v>172.197395030004</x:v>
      </x:c>
      <x:c r="F95" s="22" t="n">
        <x:f>IF(A95&lt;=Eingaben!B17*12,E95,MIN(G94+E95,Finanzierung!B25))</x:f>
        <x:v>379.19298234971245</x:v>
      </x:c>
      <x:c r="G95" s="22" t="n">
        <x:f>MAX(0,G94+E95-F95)</x:f>
        <x:v>94147.7414154222</x:v>
      </x:c>
    </x:row>
    <x:row r="96" ht="23" customHeight="1">
      <x:c r="A96" s="16" t="n">
        <x:f>90</x:f>
        <x:v>90</x:v>
      </x:c>
      <x:c r="B96" s="22" t="n">
        <x:f>D95*Eingaben!B19/12</x:f>
        <x:v>2013.0899054410913</x:v>
      </x:c>
      <x:c r="C96" s="22" t="n">
        <x:f>MIN(D95+B96,Finanzierung!B21)</x:f>
        <x:v>3004.7000000000003</x:v>
      </x:c>
      <x:c r="D96" s="22" t="n">
        <x:f>MAX(0,D95+B96-C96)</x:f>
        <x:v>643197.1596465904</x:v>
      </x:c>
      <x:c r="E96" s="22" t="n">
        <x:f>G95*Eingaben!B15/12</x:f>
        <x:v>171.81962808314552</x:v>
      </x:c>
      <x:c r="F96" s="22" t="n">
        <x:f>IF(A96&lt;=Eingaben!B17*12,E96,MIN(G95+E96,Finanzierung!B25))</x:f>
        <x:v>379.19298234971245</x:v>
      </x:c>
      <x:c r="G96" s="22" t="n">
        <x:f>MAX(0,G95+E96-F96)</x:f>
        <x:v>93940.36806115563</x:v>
      </x:c>
    </x:row>
    <x:row r="97" ht="23" customHeight="1">
      <x:c r="A97" s="16" t="n">
        <x:f>91</x:f>
        <x:v>91</x:v>
      </x:c>
      <x:c r="B97" s="22" t="n">
        <x:f>D96*Eingaben!B19/12</x:f>
        <x:v>2009.9911238955947</x:v>
      </x:c>
      <x:c r="C97" s="22" t="n">
        <x:f>MIN(D96+B97,Finanzierung!B21)</x:f>
        <x:v>3004.7000000000003</x:v>
      </x:c>
      <x:c r="D97" s="22" t="n">
        <x:f>MAX(0,D96+B97-C97)</x:f>
        <x:v>642202.450770486</x:v>
      </x:c>
      <x:c r="E97" s="22" t="n">
        <x:f>G96*Eingaben!B15/12</x:f>
        <x:v>171.44117171160903</x:v>
      </x:c>
      <x:c r="F97" s="22" t="n">
        <x:f>IF(A97&lt;=Eingaben!B17*12,E97,MIN(G96+E97,Finanzierung!B25))</x:f>
        <x:v>379.19298234971245</x:v>
      </x:c>
      <x:c r="G97" s="22" t="n">
        <x:f>MAX(0,G96+E97-F97)</x:f>
        <x:v>93732.61625051752</x:v>
      </x:c>
    </x:row>
    <x:row r="98" ht="23" customHeight="1">
      <x:c r="A98" s="16" t="n">
        <x:f>92</x:f>
        <x:v>92</x:v>
      </x:c>
      <x:c r="B98" s="22" t="n">
        <x:f>D97*Eingaben!B19/12</x:f>
        <x:v>2006.8826586577688</x:v>
      </x:c>
      <x:c r="C98" s="22" t="n">
        <x:f>MIN(D97+B98,Finanzierung!B21)</x:f>
        <x:v>3004.7000000000003</x:v>
      </x:c>
      <x:c r="D98" s="22" t="n">
        <x:f>MAX(0,D97+B98-C98)</x:f>
        <x:v>641204.6334291438</x:v>
      </x:c>
      <x:c r="E98" s="22" t="n">
        <x:f>G97*Eingaben!B15/12</x:f>
        <x:v>171.06202465719446</x:v>
      </x:c>
      <x:c r="F98" s="22" t="n">
        <x:f>IF(A98&lt;=Eingaben!B17*12,E98,MIN(G97+E98,Finanzierung!B25))</x:f>
        <x:v>379.19298234971245</x:v>
      </x:c>
      <x:c r="G98" s="22" t="n">
        <x:f>MAX(0,G97+E98-F98)</x:f>
        <x:v>93524.48529282499</x:v>
      </x:c>
    </x:row>
    <x:row r="99" ht="23" customHeight="1">
      <x:c r="A99" s="16" t="n">
        <x:f>93</x:f>
        <x:v>93</x:v>
      </x:c>
      <x:c r="B99" s="22" t="n">
        <x:f>D98*Eingaben!B19/12</x:f>
        <x:v>2003.7644794660744</x:v>
      </x:c>
      <x:c r="C99" s="22" t="n">
        <x:f>MIN(D98+B99,Finanzierung!B21)</x:f>
        <x:v>3004.7000000000003</x:v>
      </x:c>
      <x:c r="D99" s="22" t="n">
        <x:f>MAX(0,D98+B99-C99)</x:f>
        <x:v>640203.69790861</x:v>
      </x:c>
      <x:c r="E99" s="22" t="n">
        <x:f>G98*Eingaben!B15/12</x:f>
        <x:v>170.6821856594056</x:v>
      </x:c>
      <x:c r="F99" s="22" t="n">
        <x:f>IF(A99&lt;=Eingaben!B17*12,E99,MIN(G98+E99,Finanzierung!B25))</x:f>
        <x:v>379.19298234971245</x:v>
      </x:c>
      <x:c r="G99" s="22" t="n">
        <x:f>MAX(0,G98+E99-F99)</x:f>
        <x:v>93315.97449613467</x:v>
      </x:c>
    </x:row>
    <x:row r="100" ht="23" customHeight="1">
      <x:c r="A100" s="16" t="n">
        <x:f>94</x:f>
        <x:v>94</x:v>
      </x:c>
      <x:c r="B100" s="22" t="n">
        <x:f>D99*Eingaben!B19/12</x:f>
        <x:v>2000.6365559644062</x:v>
      </x:c>
      <x:c r="C100" s="22" t="n">
        <x:f>MIN(D99+B100,Finanzierung!B21)</x:f>
        <x:v>3004.7000000000003</x:v>
      </x:c>
      <x:c r="D100" s="22" t="n">
        <x:f>MAX(0,D99+B100-C100)</x:f>
        <x:v>639199.6344645744</x:v>
      </x:c>
      <x:c r="E100" s="22" t="n">
        <x:f>G99*Eingaben!B15/12</x:f>
        <x:v>170.30165345544577</x:v>
      </x:c>
      <x:c r="F100" s="22" t="n">
        <x:f>IF(A100&lt;=Eingaben!B17*12,E100,MIN(G99+E100,Finanzierung!B25))</x:f>
        <x:v>379.19298234971245</x:v>
      </x:c>
      <x:c r="G100" s="22" t="n">
        <x:f>MAX(0,G99+E100-F100)</x:f>
        <x:v>93107.0831672404</x:v>
      </x:c>
    </x:row>
    <x:row r="101" ht="23" customHeight="1">
      <x:c r="A101" s="16" t="n">
        <x:f>95</x:f>
        <x:v>95</x:v>
      </x:c>
      <x:c r="B101" s="22" t="n">
        <x:f>D100*Eingaben!B19/12</x:f>
        <x:v>1997.4988577017948</x:v>
      </x:c>
      <x:c r="C101" s="22" t="n">
        <x:f>MIN(D100+B101,Finanzierung!B21)</x:f>
        <x:v>3004.7000000000003</x:v>
      </x:c>
      <x:c r="D101" s="22" t="n">
        <x:f>MAX(0,D100+B101-C101)</x:f>
        <x:v>638192.4333222762</x:v>
      </x:c>
      <x:c r="E101" s="22" t="n">
        <x:f>G100*Eingaben!B15/12</x:f>
        <x:v>169.92042678021372</x:v>
      </x:c>
      <x:c r="F101" s="22" t="n">
        <x:f>IF(A101&lt;=Eingaben!B17*12,E101,MIN(G100+E101,Finanzierung!B25))</x:f>
        <x:v>379.19298234971245</x:v>
      </x:c>
      <x:c r="G101" s="22" t="n">
        <x:f>MAX(0,G100+E101-F101)</x:f>
        <x:v>92897.8106116709</x:v>
      </x:c>
    </x:row>
    <x:row r="102" ht="23" customHeight="1">
      <x:c r="A102" s="16" t="n">
        <x:f>96</x:f>
        <x:v>96</x:v>
      </x:c>
      <x:c r="B102" s="22" t="n">
        <x:f>D101*Eingaben!B19/12</x:f>
        <x:v>1994.3513541321133</x:v>
      </x:c>
      <x:c r="C102" s="22" t="n">
        <x:f>MIN(D101+B102,Finanzierung!B21)</x:f>
        <x:v>3004.7000000000003</x:v>
      </x:c>
      <x:c r="D102" s="22" t="n">
        <x:f>MAX(0,D101+B102-C102)</x:f>
        <x:v>637182.0846764083</x:v>
      </x:c>
      <x:c r="E102" s="22" t="n">
        <x:f>G101*Eingaben!B15/12</x:f>
        <x:v>169.53850436629938</x:v>
      </x:c>
      <x:c r="F102" s="22" t="n">
        <x:f>IF(A102&lt;=Eingaben!B17*12,E102,MIN(G101+E102,Finanzierung!B25))</x:f>
        <x:v>379.19298234971245</x:v>
      </x:c>
      <x:c r="G102" s="22" t="n">
        <x:f>MAX(0,G101+E102-F102)</x:f>
        <x:v>92688.15613368747</x:v>
      </x:c>
    </x:row>
    <x:row r="103" ht="23" customHeight="1">
      <x:c r="A103" s="16" t="n">
        <x:f>97</x:f>
        <x:v>97</x:v>
      </x:c>
      <x:c r="B103" s="22" t="n">
        <x:f>D102*Eingaben!B19/12</x:f>
        <x:v>1991.1940146137758</x:v>
      </x:c>
      <x:c r="C103" s="22" t="n">
        <x:f>MIN(D102+B103,Finanzierung!B21)</x:f>
        <x:v>3004.7000000000003</x:v>
      </x:c>
      <x:c r="D103" s="22" t="n">
        <x:f>MAX(0,D102+B103-C103)</x:f>
        <x:v>636168.5786910221</x:v>
      </x:c>
      <x:c r="E103" s="22" t="n">
        <x:f>G102*Eingaben!B15/12</x:f>
        <x:v>169.15588494397963</x:v>
      </x:c>
      <x:c r="F103" s="22" t="n">
        <x:f>IF(A103&lt;=Eingaben!B17*12,E103,MIN(G102+E103,Finanzierung!B25))</x:f>
        <x:v>379.19298234971245</x:v>
      </x:c>
      <x:c r="G103" s="22" t="n">
        <x:f>MAX(0,G102+E103-F103)</x:f>
        <x:v>92478.11903628173</x:v>
      </x:c>
    </x:row>
    <x:row r="104" ht="23" customHeight="1">
      <x:c r="A104" s="16" t="n">
        <x:f>98</x:f>
        <x:v>98</x:v>
      </x:c>
      <x:c r="B104" s="22" t="n">
        <x:f>D103*Eingaben!B19/12</x:f>
        <x:v>1988.0268084094441</x:v>
      </x:c>
      <x:c r="C104" s="22" t="n">
        <x:f>MIN(D103+B104,Finanzierung!B21)</x:f>
        <x:v>3004.7000000000003</x:v>
      </x:c>
      <x:c r="D104" s="22" t="n">
        <x:f>MAX(0,D103+B104-C104)</x:f>
        <x:v>635151.9054994317</x:v>
      </x:c>
      <x:c r="E104" s="22" t="n">
        <x:f>G103*Eingaben!B15/12</x:f>
        <x:v>168.77256724121415</x:v>
      </x:c>
      <x:c r="F104" s="22" t="n">
        <x:f>IF(A104&lt;=Eingaben!B17*12,E104,MIN(G103+E104,Finanzierung!B25))</x:f>
        <x:v>379.19298234971245</x:v>
      </x:c>
      <x:c r="G104" s="22" t="n">
        <x:f>MAX(0,G103+E104-F104)</x:f>
        <x:v>92267.69862117323</x:v>
      </x:c>
    </x:row>
    <x:row r="105" ht="23" customHeight="1">
      <x:c r="A105" s="16" t="n">
        <x:f>99</x:f>
        <x:v>99</x:v>
      </x:c>
      <x:c r="B105" s="22" t="n">
        <x:f>D104*Eingaben!B19/12</x:f>
        <x:v>1984.8497046857237</x:v>
      </x:c>
      <x:c r="C105" s="22" t="n">
        <x:f>MIN(D104+B105,Finanzierung!B21)</x:f>
        <x:v>3004.7000000000003</x:v>
      </x:c>
      <x:c r="D105" s="22" t="n">
        <x:f>MAX(0,D104+B105-C105)</x:f>
        <x:v>634132.0552041174</x:v>
      </x:c>
      <x:c r="E105" s="22" t="n">
        <x:f>G104*Eingaben!B15/12</x:f>
        <x:v>168.38854998364113</x:v>
      </x:c>
      <x:c r="F105" s="22" t="n">
        <x:f>IF(A105&lt;=Eingaben!B17*12,E105,MIN(G104+E105,Finanzierung!B25))</x:f>
        <x:v>379.19298234971245</x:v>
      </x:c>
      <x:c r="G105" s="22" t="n">
        <x:f>MAX(0,G104+E105-F105)</x:f>
        <x:v>92056.89418880716</x:v>
      </x:c>
    </x:row>
    <x:row r="106" ht="23" customHeight="1">
      <x:c r="A106" s="16" t="n">
        <x:f>100</x:f>
        <x:v>100</x:v>
      </x:c>
      <x:c r="B106" s="22" t="n">
        <x:f>D105*Eingaben!B19/12</x:f>
        <x:v>1981.662672512867</x:v>
      </x:c>
      <x:c r="C106" s="22" t="n">
        <x:f>MIN(D105+B106,Finanzierung!B21)</x:f>
        <x:v>3004.7000000000003</x:v>
      </x:c>
      <x:c r="D106" s="22" t="n">
        <x:f>MAX(0,D105+B106-C106)</x:f>
        <x:v>633109.0178766303</x:v>
      </x:c>
      <x:c r="E106" s="22" t="n">
        <x:f>G105*Eingaben!B15/12</x:f>
        <x:v>168.00383189457304</x:v>
      </x:c>
      <x:c r="F106" s="22" t="n">
        <x:f>IF(A106&lt;=Eingaben!B17*12,E106,MIN(G105+E106,Finanzierung!B25))</x:f>
        <x:v>379.19298234971245</x:v>
      </x:c>
      <x:c r="G106" s="22" t="n">
        <x:f>MAX(0,G105+E106-F106)</x:f>
        <x:v>91845.70503835201</x:v>
      </x:c>
    </x:row>
    <x:row r="107" ht="23" customHeight="1">
      <x:c r="A107" s="16" t="n">
        <x:f>101</x:f>
        <x:v>101</x:v>
      </x:c>
      <x:c r="B107" s="22" t="n">
        <x:f>D106*Eingaben!B19/12</x:f>
        <x:v>1978.4656808644695</x:v>
      </x:c>
      <x:c r="C107" s="22" t="n">
        <x:f>MIN(D106+B107,Finanzierung!B21)</x:f>
        <x:v>3004.7000000000003</x:v>
      </x:c>
      <x:c r="D107" s="22" t="n">
        <x:f>MAX(0,D106+B107-C107)</x:f>
        <x:v>632082.7835574949</x:v>
      </x:c>
      <x:c r="E107" s="22" t="n">
        <x:f>G106*Eingaben!B15/12</x:f>
        <x:v>167.61841169499243</x:v>
      </x:c>
      <x:c r="F107" s="22" t="n">
        <x:f>IF(A107&lt;=Eingaben!B17*12,E107,MIN(G106+E107,Finanzierung!B25))</x:f>
        <x:v>379.19298234971245</x:v>
      </x:c>
      <x:c r="G107" s="22" t="n">
        <x:f>MAX(0,G106+E107-F107)</x:f>
        <x:v>91634.13046769728</x:v>
      </x:c>
    </x:row>
    <x:row r="108" ht="23" customHeight="1">
      <x:c r="A108" s="16" t="n">
        <x:f>102</x:f>
        <x:v>102</x:v>
      </x:c>
      <x:c r="B108" s="22" t="n">
        <x:f>D107*Eingaben!B19/12</x:f>
        <x:v>1975.2586986171716</x:v>
      </x:c>
      <x:c r="C108" s="22" t="n">
        <x:f>MIN(D107+B108,Finanzierung!B21)</x:f>
        <x:v>3004.7000000000003</x:v>
      </x:c>
      <x:c r="D108" s="22" t="n">
        <x:f>MAX(0,D107+B108-C108)</x:f>
        <x:v>631053.3422561121</x:v>
      </x:c>
      <x:c r="E108" s="22" t="n">
        <x:f>G107*Eingaben!B15/12</x:f>
        <x:v>167.23228810354752</x:v>
      </x:c>
      <x:c r="F108" s="22" t="n">
        <x:f>IF(A108&lt;=Eingaben!B17*12,E108,MIN(G107+E108,Finanzierung!B25))</x:f>
        <x:v>379.19298234971245</x:v>
      </x:c>
      <x:c r="G108" s="22" t="n">
        <x:f>MAX(0,G107+E108-F108)</x:f>
        <x:v>91422.16977345111</x:v>
      </x:c>
    </x:row>
    <x:row r="109" ht="23" customHeight="1">
      <x:c r="A109" s="16" t="n">
        <x:f>103</x:f>
        <x:v>103</x:v>
      </x:c>
      <x:c r="B109" s="22" t="n">
        <x:f>D108*Eingaben!B19/12</x:f>
        <x:v>1972.0416945503503</x:v>
      </x:c>
      <x:c r="C109" s="22" t="n">
        <x:f>MIN(D108+B109,Finanzierung!B21)</x:f>
        <x:v>3004.7000000000003</x:v>
      </x:c>
      <x:c r="D109" s="22" t="n">
        <x:f>MAX(0,D108+B109-C109)</x:f>
        <x:v>630020.6839506625</x:v>
      </x:c>
      <x:c r="E109" s="22" t="n">
        <x:f>G108*Eingaben!B15/12</x:f>
        <x:v>166.84545983654826</x:v>
      </x:c>
      <x:c r="F109" s="22" t="n">
        <x:f>IF(A109&lt;=Eingaben!B17*12,E109,MIN(G108+E109,Finanzierung!B25))</x:f>
        <x:v>379.19298234971245</x:v>
      </x:c>
      <x:c r="G109" s="22" t="n">
        <x:f>MAX(0,G108+E109-F109)</x:f>
        <x:v>91209.82225093794</x:v>
      </x:c>
    </x:row>
    <x:row r="110" ht="23" customHeight="1">
      <x:c r="A110" s="16" t="n">
        <x:f>104</x:f>
        <x:v>104</x:v>
      </x:c>
      <x:c r="B110" s="22" t="n">
        <x:f>D109*Eingaben!B19/12</x:f>
        <x:v>1968.8146373458203</x:v>
      </x:c>
      <x:c r="C110" s="22" t="n">
        <x:f>MIN(D109+B110,Finanzierung!B21)</x:f>
        <x:v>3004.7000000000003</x:v>
      </x:c>
      <x:c r="D110" s="22" t="n">
        <x:f>MAX(0,D109+B110-C110)</x:f>
        <x:v>628984.7985880084</x:v>
      </x:c>
      <x:c r="E110" s="22" t="n">
        <x:f>G109*Eingaben!B15/12</x:f>
        <x:v>166.45792560796176</x:v>
      </x:c>
      <x:c r="F110" s="22" t="n">
        <x:f>IF(A110&lt;=Eingaben!B17*12,E110,MIN(G109+E110,Finanzierung!B25))</x:f>
        <x:v>379.19298234971245</x:v>
      </x:c>
      <x:c r="G110" s="22" t="n">
        <x:f>MAX(0,G109+E110-F110)</x:f>
        <x:v>90997.08719419618</x:v>
      </x:c>
    </x:row>
    <x:row r="111" ht="23" customHeight="1">
      <x:c r="A111" s="16" t="n">
        <x:f>105</x:f>
        <x:v>105</x:v>
      </x:c>
      <x:c r="B111" s="22" t="n">
        <x:f>D110*Eingaben!B19/12</x:f>
        <x:v>1965.577495587526</x:v>
      </x:c>
      <x:c r="C111" s="22" t="n">
        <x:f>MIN(D110+B111,Finanzierung!B21)</x:f>
        <x:v>3004.7000000000003</x:v>
      </x:c>
      <x:c r="D111" s="22" t="n">
        <x:f>MAX(0,D110+B111-C111)</x:f>
        <x:v>627945.676083596</x:v>
      </x:c>
      <x:c r="E111" s="22" t="n">
        <x:f>G110*Eingaben!B15/12</x:f>
        <x:v>166.06968412940802</x:v>
      </x:c>
      <x:c r="F111" s="22" t="n">
        <x:f>IF(A111&lt;=Eingaben!B17*12,E111,MIN(G110+E111,Finanzierung!B25))</x:f>
        <x:v>379.19298234971245</x:v>
      </x:c>
      <x:c r="G111" s="22" t="n">
        <x:f>MAX(0,G110+E111-F111)</x:f>
        <x:v>90783.96389597587</x:v>
      </x:c>
    </x:row>
    <x:row r="112" ht="23" customHeight="1">
      <x:c r="A112" s="16" t="n">
        <x:f>106</x:f>
        <x:v>106</x:v>
      </x:c>
      <x:c r="B112" s="22" t="n">
        <x:f>D111*Eingaben!B19/12</x:f>
        <x:v>1962.3302377612372</x:v>
      </x:c>
      <x:c r="C112" s="22" t="n">
        <x:f>MIN(D111+B112,Finanzierung!B21)</x:f>
        <x:v>3004.7000000000003</x:v>
      </x:c>
      <x:c r="D112" s="22" t="n">
        <x:f>MAX(0,D111+B112-C112)</x:f>
        <x:v>626903.3063213573</x:v>
      </x:c>
      <x:c r="E112" s="22" t="n">
        <x:f>G111*Eingaben!B15/12</x:f>
        <x:v>165.68073411015595</x:v>
      </x:c>
      <x:c r="F112" s="22" t="n">
        <x:f>IF(A112&lt;=Eingaben!B17*12,E112,MIN(G111+E112,Finanzierung!B25))</x:f>
        <x:v>379.19298234971245</x:v>
      </x:c>
      <x:c r="G112" s="22" t="n">
        <x:f>MAX(0,G111+E112-F112)</x:f>
        <x:v>90570.4516477363</x:v>
      </x:c>
    </x:row>
    <x:row r="113" ht="23" customHeight="1">
      <x:c r="A113" s="16" t="n">
        <x:f>107</x:f>
        <x:v>107</x:v>
      </x:c>
      <x:c r="B113" s="22" t="n">
        <x:f>D112*Eingaben!B19/12</x:f>
        <x:v>1959.0728322542416</x:v>
      </x:c>
      <x:c r="C113" s="22" t="n">
        <x:f>MIN(D112+B113,Finanzierung!B21)</x:f>
        <x:v>3004.7000000000003</x:v>
      </x:c>
      <x:c r="D113" s="22" t="n">
        <x:f>MAX(0,D112+B113-C113)</x:f>
        <x:v>625857.6791536115</x:v>
      </x:c>
      <x:c r="E113" s="22" t="n">
        <x:f>G112*Eingaben!B15/12</x:f>
        <x:v>165.29107425711877</x:v>
      </x:c>
      <x:c r="F113" s="22" t="n">
        <x:f>IF(A113&lt;=Eingaben!B17*12,E113,MIN(G112+E113,Finanzierung!B25))</x:f>
        <x:v>379.19298234971245</x:v>
      </x:c>
      <x:c r="G113" s="22" t="n">
        <x:f>MAX(0,G112+E113-F113)</x:f>
        <x:v>90356.54973964371</x:v>
      </x:c>
    </x:row>
    <x:row r="114" ht="23" customHeight="1">
      <x:c r="A114" s="16" t="n">
        <x:f>108</x:f>
        <x:v>108</x:v>
      </x:c>
      <x:c r="B114" s="22" t="n">
        <x:f>D113*Eingaben!B19/12</x:f>
        <x:v>1955.805247355036</x:v>
      </x:c>
      <x:c r="C114" s="22" t="n">
        <x:f>MIN(D113+B114,Finanzierung!B21)</x:f>
        <x:v>3004.7000000000003</x:v>
      </x:c>
      <x:c r="D114" s="22" t="n">
        <x:f>MAX(0,D113+B114-C114)</x:f>
        <x:v>624808.7844009666</x:v>
      </x:c>
      <x:c r="E114" s="22" t="n">
        <x:f>G113*Eingaben!B15/12</x:f>
        <x:v>164.90070327484977</x:v>
      </x:c>
      <x:c r="F114" s="22" t="n">
        <x:f>IF(A114&lt;=Eingaben!B17*12,E114,MIN(G113+E114,Finanzierung!B25))</x:f>
        <x:v>379.19298234971245</x:v>
      </x:c>
      <x:c r="G114" s="22" t="n">
        <x:f>MAX(0,G113+E114-F114)</x:f>
        <x:v>90142.25746056884</x:v>
      </x:c>
    </x:row>
    <x:row r="115" ht="23" customHeight="1">
      <x:c r="A115" s="16" t="n">
        <x:f>109</x:f>
        <x:v>109</x:v>
      </x:c>
      <x:c r="B115" s="22" t="n">
        <x:f>D114*Eingaben!B19/12</x:f>
        <x:v>1952.5274512530204</x:v>
      </x:c>
      <x:c r="C115" s="22" t="n">
        <x:f>MIN(D114+B115,Finanzierung!B21)</x:f>
        <x:v>3004.7000000000003</x:v>
      </x:c>
      <x:c r="D115" s="22" t="n">
        <x:f>MAX(0,D114+B115-C115)</x:f>
        <x:v>623756.6118522197</x:v>
      </x:c>
      <x:c r="E115" s="22" t="n">
        <x:f>G114*Eingaben!B15/12</x:f>
        <x:v>164.50961986553813</x:v>
      </x:c>
      <x:c r="F115" s="22" t="n">
        <x:f>IF(A115&lt;=Eingaben!B17*12,E115,MIN(G114+E115,Finanzierung!B25))</x:f>
        <x:v>379.19298234971245</x:v>
      </x:c>
      <x:c r="G115" s="22" t="n">
        <x:f>MAX(0,G114+E115-F115)</x:f>
        <x:v>89927.57409808466</x:v>
      </x:c>
    </x:row>
    <x:row r="116" ht="23" customHeight="1">
      <x:c r="A116" s="16" t="n">
        <x:f>110</x:f>
        <x:v>110</x:v>
      </x:c>
      <x:c r="B116" s="22" t="n">
        <x:f>D115*Eingaben!B19/12</x:f>
        <x:v>1949.2394120381866</x:v>
      </x:c>
      <x:c r="C116" s="22" t="n">
        <x:f>MIN(D115+B116,Finanzierung!B21)</x:f>
        <x:v>3004.7000000000003</x:v>
      </x:c>
      <x:c r="D116" s="22" t="n">
        <x:f>MAX(0,D115+B116-C116)</x:f>
        <x:v>622701.151264258</x:v>
      </x:c>
      <x:c r="E116" s="22" t="n">
        <x:f>G115*Eingaben!B15/12</x:f>
        <x:v>164.1178227290045</x:v>
      </x:c>
      <x:c r="F116" s="22" t="n">
        <x:f>IF(A116&lt;=Eingaben!B17*12,E116,MIN(G115+E116,Finanzierung!B25))</x:f>
        <x:v>379.19298234971245</x:v>
      </x:c>
      <x:c r="G116" s="22" t="n">
        <x:f>MAX(0,G115+E116-F116)</x:f>
        <x:v>89712.49893846395</x:v>
      </x:c>
    </x:row>
    <x:row r="117" ht="23" customHeight="1">
      <x:c r="A117" s="16" t="n">
        <x:f>111</x:f>
        <x:v>111</x:v>
      </x:c>
      <x:c r="B117" s="22" t="n">
        <x:f>D116*Eingaben!B19/12</x:f>
        <x:v>1945.9410977008063</x:v>
      </x:c>
      <x:c r="C117" s="22" t="n">
        <x:f>MIN(D116+B117,Finanzierung!B21)</x:f>
        <x:v>3004.7000000000003</x:v>
      </x:c>
      <x:c r="D117" s="22" t="n">
        <x:f>MAX(0,D116+B117-C117)</x:f>
        <x:v>621642.3923619589</x:v>
      </x:c>
      <x:c r="E117" s="22" t="n">
        <x:f>G116*Eingaben!B15/12</x:f>
        <x:v>163.7253105626967</x:v>
      </x:c>
      <x:c r="F117" s="22" t="n">
        <x:f>IF(A117&lt;=Eingaben!B17*12,E117,MIN(G116+E117,Finanzierung!B25))</x:f>
        <x:v>379.19298234971245</x:v>
      </x:c>
      <x:c r="G117" s="22" t="n">
        <x:f>MAX(0,G116+E117-F117)</x:f>
        <x:v>89497.03126667693</x:v>
      </x:c>
    </x:row>
    <x:row r="118" ht="23" customHeight="1">
      <x:c r="A118" s="16" t="n">
        <x:f>112</x:f>
        <x:v>112</x:v>
      </x:c>
      <x:c r="B118" s="22" t="n">
        <x:f>D117*Eingaben!B19/12</x:f>
        <x:v>1942.6324761311214</x:v>
      </x:c>
      <x:c r="C118" s="22" t="n">
        <x:f>MIN(D117+B118,Finanzierung!B21)</x:f>
        <x:v>3004.7000000000003</x:v>
      </x:c>
      <x:c r="D118" s="22" t="n">
        <x:f>MAX(0,D117+B118-C118)</x:f>
        <x:v>620580.32483809</x:v>
      </x:c>
      <x:c r="E118" s="22" t="n">
        <x:f>G117*Eingaben!B15/12</x:f>
        <x:v>163.33208206168538</x:v>
      </x:c>
      <x:c r="F118" s="22" t="n">
        <x:f>IF(A118&lt;=Eingaben!B17*12,E118,MIN(G117+E118,Finanzierung!B25))</x:f>
        <x:v>379.19298234971245</x:v>
      </x:c>
      <x:c r="G118" s="22" t="n">
        <x:f>MAX(0,G117+E118-F118)</x:f>
        <x:v>89281.17036638889</x:v>
      </x:c>
    </x:row>
    <x:row r="119" ht="23" customHeight="1">
      <x:c r="A119" s="16" t="n">
        <x:f>113</x:f>
        <x:v>113</x:v>
      </x:c>
      <x:c r="B119" s="22" t="n">
        <x:f>D118*Eingaben!B19/12</x:f>
        <x:v>1939.313515119031</x:v>
      </x:c>
      <x:c r="C119" s="22" t="n">
        <x:f>MIN(D118+B119,Finanzierung!B21)</x:f>
        <x:v>3004.7000000000003</x:v>
      </x:c>
      <x:c r="D119" s="22" t="n">
        <x:f>MAX(0,D118+B119-C119)</x:f>
        <x:v>619514.938353209</x:v>
      </x:c>
      <x:c r="E119" s="22" t="n">
        <x:f>G118*Eingaben!B15/12</x:f>
        <x:v>162.93813591865973</x:v>
      </x:c>
      <x:c r="F119" s="22" t="n">
        <x:f>IF(A119&lt;=Eingaben!B17*12,E119,MIN(G118+E119,Finanzierung!B25))</x:f>
        <x:v>379.19298234971245</x:v>
      </x:c>
      <x:c r="G119" s="22" t="n">
        <x:f>MAX(0,G118+E119-F119)</x:f>
        <x:v>89064.91551995784</x:v>
      </x:c>
    </x:row>
    <x:row r="120" ht="23" customHeight="1">
      <x:c r="A120" s="16" t="n">
        <x:f>114</x:f>
        <x:v>114</x:v>
      </x:c>
      <x:c r="B120" s="22" t="n">
        <x:f>D119*Eingaben!B19/12</x:f>
        <x:v>1935.9841823537781</x:v>
      </x:c>
      <x:c r="C120" s="22" t="n">
        <x:f>MIN(D119+B120,Finanzierung!B21)</x:f>
        <x:v>3004.7000000000003</x:v>
      </x:c>
      <x:c r="D120" s="22" t="n">
        <x:f>MAX(0,D119+B120-C120)</x:f>
        <x:v>618446.2225355629</x:v>
      </x:c>
      <x:c r="E120" s="22" t="n">
        <x:f>G119*Eingaben!B15/12</x:f>
        <x:v>162.54347082392306</x:v>
      </x:c>
      <x:c r="F120" s="22" t="n">
        <x:f>IF(A120&lt;=Eingaben!B17*12,E120,MIN(G119+E120,Finanzierung!B25))</x:f>
        <x:v>379.19298234971245</x:v>
      </x:c>
      <x:c r="G120" s="22" t="n">
        <x:f>MAX(0,G119+E120-F120)</x:f>
        <x:v>88848.26600843204</x:v>
      </x:c>
    </x:row>
    <x:row r="121" ht="23" customHeight="1">
      <x:c r="A121" s="16" t="n">
        <x:f>115</x:f>
        <x:v>115</x:v>
      </x:c>
      <x:c r="B121" s="22" t="n">
        <x:f>D120*Eingaben!B19/12</x:f>
        <x:v>1932.6444454236341</x:v>
      </x:c>
      <x:c r="C121" s="22" t="n">
        <x:f>MIN(D120+B121,Finanzierung!B21)</x:f>
        <x:v>3004.7000000000003</x:v>
      </x:c>
      <x:c r="D121" s="22" t="n">
        <x:f>MAX(0,D120+B121-C121)</x:f>
        <x:v>617374.1669809866</x:v>
      </x:c>
      <x:c r="E121" s="22" t="n">
        <x:f>G120*Eingaben!B15/12</x:f>
        <x:v>162.14808546538845</x:v>
      </x:c>
      <x:c r="F121" s="22" t="n">
        <x:f>IF(A121&lt;=Eingaben!B17*12,E121,MIN(G120+E121,Finanzierung!B25))</x:f>
        <x:v>379.19298234971245</x:v>
      </x:c>
      <x:c r="G121" s="22" t="n">
        <x:f>MAX(0,G120+E121-F121)</x:f>
        <x:v>88631.22111154771</x:v>
      </x:c>
    </x:row>
    <x:row r="122" ht="23" customHeight="1">
      <x:c r="A122" s="16" t="n">
        <x:f>116</x:f>
        <x:v>116</x:v>
      </x:c>
      <x:c r="B122" s="22" t="n">
        <x:f>D121*Eingaben!B19/12</x:f>
        <x:v>1929.294271815583</x:v>
      </x:c>
      <x:c r="C122" s="22" t="n">
        <x:f>MIN(D121+B122,Finanzierung!B21)</x:f>
        <x:v>3004.7000000000003</x:v>
      </x:c>
      <x:c r="D122" s="22" t="n">
        <x:f>MAX(0,D121+B122-C122)</x:f>
        <x:v>616298.7612528022</x:v>
      </x:c>
      <x:c r="E122" s="22" t="n">
        <x:f>G121*Eingaben!B15/12</x:f>
        <x:v>161.75197852857457</x:v>
      </x:c>
      <x:c r="F122" s="22" t="n">
        <x:f>IF(A122&lt;=Eingaben!B17*12,E122,MIN(G121+E122,Finanzierung!B25))</x:f>
        <x:v>379.19298234971245</x:v>
      </x:c>
      <x:c r="G122" s="22" t="n">
        <x:f>MAX(0,G121+E122-F122)</x:f>
        <x:v>88413.78010772656</x:v>
      </x:c>
    </x:row>
    <x:row r="123" ht="23" customHeight="1">
      <x:c r="A123" s="16" t="n">
        <x:f>117</x:f>
        <x:v>117</x:v>
      </x:c>
      <x:c r="B123" s="22" t="n">
        <x:f>D122*Eingaben!B19/12</x:f>
        <x:v>1925.933628915007</x:v>
      </x:c>
      <x:c r="C123" s="22" t="n">
        <x:f>MIN(D122+B123,Finanzierung!B21)</x:f>
        <x:v>3004.7000000000003</x:v>
      </x:c>
      <x:c r="D123" s="22" t="n">
        <x:f>MAX(0,D122+B123-C123)</x:f>
        <x:v>615219.9948817173</x:v>
      </x:c>
      <x:c r="E123" s="22" t="n">
        <x:f>G122*Eingaben!B15/12</x:f>
        <x:v>161.35514869660096</x:v>
      </x:c>
      <x:c r="F123" s="22" t="n">
        <x:f>IF(A123&lt;=Eingaben!B17*12,E123,MIN(G122+E123,Finanzierung!B25))</x:f>
        <x:v>379.19298234971245</x:v>
      </x:c>
      <x:c r="G123" s="22" t="n">
        <x:f>MAX(0,G122+E123-F123)</x:f>
        <x:v>88195.94227407344</x:v>
      </x:c>
    </x:row>
    <x:row r="124" ht="23" customHeight="1">
      <x:c r="A124" s="16" t="n">
        <x:f>118</x:f>
        <x:v>118</x:v>
      </x:c>
      <x:c r="B124" s="22" t="n">
        <x:f>D123*Eingaben!B19/12</x:f>
        <x:v>1922.5624840053663</x:v>
      </x:c>
      <x:c r="C124" s="22" t="n">
        <x:f>MIN(D123+B124,Finanzierung!B21)</x:f>
        <x:v>3004.7000000000003</x:v>
      </x:c>
      <x:c r="D124" s="22" t="n">
        <x:f>MAX(0,D123+B124-C124)</x:f>
        <x:v>614137.8573657227</x:v>
      </x:c>
      <x:c r="E124" s="22" t="n">
        <x:f>G123*Eingaben!B15/12</x:f>
        <x:v>160.95759465018403</x:v>
      </x:c>
      <x:c r="F124" s="22" t="n">
        <x:f>IF(A124&lt;=Eingaben!B17*12,E124,MIN(G123+E124,Finanzierung!B25))</x:f>
        <x:v>379.19298234971245</x:v>
      </x:c>
      <x:c r="G124" s="22" t="n">
        <x:f>MAX(0,G123+E124-F124)</x:f>
        <x:v>87977.70688637391</x:v>
      </x:c>
    </x:row>
    <x:row r="125" ht="23" customHeight="1">
      <x:c r="A125" s="16" t="n">
        <x:f>119</x:f>
        <x:v>119</x:v>
      </x:c>
      <x:c r="B125" s="22" t="n">
        <x:f>D124*Eingaben!B19/12</x:f>
        <x:v>1919.180804267883</x:v>
      </x:c>
      <x:c r="C125" s="22" t="n">
        <x:f>MIN(D124+B125,Finanzierung!B21)</x:f>
        <x:v>3004.7000000000003</x:v>
      </x:c>
      <x:c r="D125" s="22" t="n">
        <x:f>MAX(0,D124+B125-C125)</x:f>
        <x:v>613052.3381699906</x:v>
      </x:c>
      <x:c r="E125" s="22" t="n">
        <x:f>G124*Eingaben!B15/12</x:f>
        <x:v>160.55931506763238</x:v>
      </x:c>
      <x:c r="F125" s="22" t="n">
        <x:f>IF(A125&lt;=Eingaben!B17*12,E125,MIN(G124+E125,Finanzierung!B25))</x:f>
        <x:v>379.19298234971245</x:v>
      </x:c>
      <x:c r="G125" s="22" t="n">
        <x:f>MAX(0,G124+E125-F125)</x:f>
        <x:v>87759.07321909182</x:v>
      </x:c>
    </x:row>
    <x:row r="126" ht="23" customHeight="1">
      <x:c r="A126" s="16" t="n">
        <x:f>120</x:f>
        <x:v>120</x:v>
      </x:c>
      <x:c r="B126" s="22" t="n">
        <x:f>D125*Eingaben!B19/12</x:f>
        <x:v>1915.7885567812207</x:v>
      </x:c>
      <x:c r="C126" s="22" t="n">
        <x:f>MIN(D125+B126,Finanzierung!B21)</x:f>
        <x:v>3004.7000000000003</x:v>
      </x:c>
      <x:c r="D126" s="22" t="n">
        <x:f>MAX(0,D125+B126-C126)</x:f>
        <x:v>611963.4267267719</x:v>
      </x:c>
      <x:c r="E126" s="22" t="n">
        <x:f>G125*Eingaben!B15/12</x:f>
        <x:v>160.16030862484257</x:v>
      </x:c>
      <x:c r="F126" s="22" t="n">
        <x:f>IF(A126&lt;=Eingaben!B17*12,E126,MIN(G125+E126,Finanzierung!B25))</x:f>
        <x:v>379.19298234971245</x:v>
      </x:c>
      <x:c r="G126" s="22" t="n">
        <x:f>MAX(0,G125+E126-F126)</x:f>
        <x:v>87540.04054536694</x:v>
      </x:c>
    </x:row>
  </x:sheetData>
  <x:mergeCells>
    <x:mergeCell ref="A1:G2"/>
    <x:mergeCell ref="A3:G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657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1" hidden="0" customWidth="1"/>
    <x:col min="2" max="2" width="23" hidden="0" customWidth="1"/>
    <x:col min="3" max="3" width="58" hidden="0" customWidth="1"/>
  </x:cols>
  <x:sheetData>
    <x:row r="1" ht="29" customHeight="1">
      <x:c r="A1" s="3" t="str">
        <x:v>Quellen und Änderungen</x:v>
      </x:c>
      <x:c r="B1" s="3"/>
      <x:c r="C1" s="2"/>
    </x:row>
    <x:row r="2" ht="29" customHeight="1">
      <x:c r="A2" s="3"/>
      <x:c r="B2" s="3"/>
      <x:c r="C2" s="2"/>
    </x:row>
    <x:row r="3" ht="29" customHeight="1">
      <x:c r="A3" s="2" t="str">
        <x:v>Nachvollziehbarer Arbeitsstand für die spätere Webseite</x:v>
      </x:c>
      <x:c r="B3" s="2"/>
      <x:c r="C3" s="2"/>
    </x:row>
    <x:row r="4" ht="26" customHeight="1">
      <x:c r="A4" s="2" t="str">
        <x:v>Seeheim-Jugenheim · Haus A1 · Stand 26.09.2026</x:v>
      </x:c>
      <x:c r="B4" s="2"/>
      <x:c r="C4" s="2"/>
    </x:row>
    <x:row r="5" ht="26" customHeight="1">
      <x:c r="A5" s="2"/>
      <x:c r="B5" s="2"/>
      <x:c r="C5" s="2"/>
    </x:row>
    <x:row r="6" ht="26" customHeight="1">
      <x:c r="A6" s="4" t="str">
        <x:v>Originaldatei</x:v>
      </x:c>
      <x:c r="B6" s="4" t="str">
        <x:v>Finanzierungsbeispiel A1 Jugenheim 120.000 Eigenkapital Basis.xlsx; Original separat unverändert beigefügt.</x:v>
      </x:c>
      <x:c r="C6" s="4"/>
    </x:row>
    <x:row r="7" ht="26" customHeight="1">
      <x:c r="A7" s="4"/>
      <x:c r="B7" s="4"/>
      <x:c r="C7" s="4"/>
    </x:row>
    <x:row r="8" ht="26" customHeight="1">
      <x:c r="A8" s="2"/>
      <x:c r="B8" s="2"/>
      <x:c r="C8" s="2"/>
    </x:row>
    <x:row r="9" ht="26" customHeight="1">
      <x:c r="A9" s="12" t="str">
        <x:v>Korrektur Geldbedarf</x:v>
      </x:c>
      <x:c r="B9" s="12" t="str">
        <x:v>884.728 € Gesamtausgaben minus 63.600 € Geldmittel = 821.128 € Darlehen. Der Arbeitswert 56.400 € ist im Basispreis schon ausgeschlossen.</x:v>
      </x:c>
      <x:c r="C9" s="12"/>
    </x:row>
    <x:row r="10" ht="26" customHeight="1">
      <x:c r="A10" s="12"/>
      <x:c r="B10" s="12"/>
      <x:c r="C10" s="12"/>
    </x:row>
    <x:row r="11" ht="26" customHeight="1">
      <x:c r="A11" s="2"/>
      <x:c r="B11" s="2"/>
      <x:c r="C11" s="2"/>
    </x:row>
    <x:row r="12" ht="26" customHeight="1">
      <x:c r="A12" s="12" t="str">
        <x:v>Rate Jahre 1–5</x:v>
      </x:c>
      <x:c r="B12" s="12" t="str">
        <x:v>721.128 € Bank × (3,75 % + 1,25 %) / 12 + 100.000 € KfW × 2,19 % / 12 = 3.187,20 €.</x:v>
      </x:c>
      <x:c r="C12" s="12"/>
    </x:row>
    <x:row r="13" ht="26" customHeight="1">
      <x:c r="A13" s="12"/>
      <x:c r="B13" s="12"/>
      <x:c r="C13" s="12"/>
    </x:row>
    <x:row r="14" ht="26" customHeight="1">
      <x:c r="A14" s="2"/>
      <x:c r="B14" s="2"/>
      <x:c r="C14" s="2"/>
    </x:row>
    <x:row r="15" ht="26" customHeight="1">
      <x:c r="A15" s="12" t="str">
        <x:v>Rate Jahre 6–10</x:v>
      </x:c>
      <x:c r="B15" s="12" t="str">
        <x:v>KfW-Tilgung nach fünf Jahren ergänzt: KfW 379,19 € + Bank 3.004,70 € = 3.383,89 €.</x:v>
      </x:c>
      <x:c r="C15" s="12"/>
    </x:row>
    <x:row r="16" ht="26" customHeight="1">
      <x:c r="A16" s="12"/>
      <x:c r="B16" s="12"/>
      <x:c r="C16" s="12"/>
    </x:row>
    <x:row r="17" ht="26" customHeight="1">
      <x:c r="A17" s="2"/>
      <x:c r="B17" s="2"/>
      <x:c r="C17" s="2"/>
    </x:row>
    <x:row r="18" ht="26" customHeight="1">
      <x:c r="A18" s="4" t="str">
        <x:v>Originalaussage Warmmiete</x:v>
      </x:c>
      <x:c r="B18" s="4" t="str">
        <x:v>In Finanzierung plus bisherigen Nebenkostenansatz umbenannt. Energie und Instandhaltung sind nicht belastbar erfasst.</x:v>
      </x:c>
      <x:c r="C18" s="4"/>
    </x:row>
    <x:row r="19" ht="26" customHeight="1">
      <x:c r="A19" s="4"/>
      <x:c r="B19" s="4"/>
      <x:c r="C19" s="4"/>
    </x:row>
    <x:row r="20" ht="26" customHeight="1">
      <x:c r="A20" s="2"/>
      <x:c r="B20" s="2"/>
      <x:c r="C20" s="2"/>
    </x:row>
    <x:row r="21" ht="26" customHeight="1">
      <x:c r="A21" s="12" t="str">
        <x:v>Fläche</x:v>
      </x:c>
      <x:c r="B21" s="12" t="str">
        <x:v>142,63 m² gemäß Wohn- und Nutzflächenberechnung 11.08.2026, statt gerundeter 143 m² im Original. Berechnungsmethode architektonisch bestätigen.</x:v>
      </x:c>
      <x:c r="C21" s="12"/>
    </x:row>
    <x:row r="22" ht="26" customHeight="1">
      <x:c r="A22" s="12"/>
      <x:c r="B22" s="12"/>
      <x:c r="C22" s="12"/>
    </x:row>
    <x:row r="23" ht="26" customHeight="1">
      <x:c r="A23" s="2"/>
      <x:c r="B23" s="2"/>
      <x:c r="C23" s="2"/>
    </x:row>
    <x:row r="24" ht="26" customHeight="1">
      <x:c r="A24" s="12" t="str">
        <x:v>Haus / Preisbasis</x:v>
      </x:c>
      <x:c r="B24" s="12" t="str">
        <x:v>Beträge beziehen sich auf eine Doppelhaushälfte A1. Steuerliche Behandlung, Leistungsumfang und verbindlicher Kaufpreis gemäß Vertrag.</x:v>
      </x:c>
      <x:c r="C24" s="12"/>
    </x:row>
    <x:row r="25" ht="26" customHeight="1">
      <x:c r="A25" s="12"/>
      <x:c r="B25" s="12"/>
      <x:c r="C25" s="12"/>
    </x:row>
    <x:row r="26" ht="26" customHeight="1">
      <x:c r="A26" s="2"/>
      <x:c r="B26" s="2"/>
      <x:c r="C26" s="2"/>
    </x:row>
    <x:row r="27" ht="26" customHeight="1">
      <x:c r="A27" s="12" t="str">
        <x:v>KfW-Quelle</x:v>
      </x:c>
      <x:c r="B27" s="12" t="str">
        <x:v>https://www.kfw.de/297 (Programm 297/298), geprüft 26.09.2026. Konditionen hängen von Zusage und Voraussetzungen ab. 2,19 % ist nur eine übernommene Modellannahme.</x:v>
      </x:c>
      <x:c r="C27" s="12"/>
    </x:row>
    <x:row r="28" ht="26" customHeight="1">
      <x:c r="A28" s="12"/>
      <x:c r="B28" s="12"/>
      <x:c r="C28" s="12"/>
    </x:row>
    <x:row r="29" ht="26" customHeight="1">
      <x:c r="A29" s="2"/>
      <x:c r="B29" s="2"/>
      <x:c r="C29" s="2"/>
    </x:row>
    <x:row r="30" ht="26" customHeight="1">
      <x:c r="A30" s="4" t="str">
        <x:v>KfW EH55</x:v>
      </x:c>
      <x:c r="B30" s="4" t="str">
        <x:v>Aktuelle Förderung befristet bis längstens 31.12.2026 und nur bei verfügbaren Mitteln. Keine Förderzusage; Antrag und Vorhabenbeginn nach Programmregeln abstimmen.</x:v>
      </x:c>
      <x:c r="C30" s="4"/>
    </x:row>
    <x:row r="31" ht="26" customHeight="1">
      <x:c r="A31" s="4"/>
      <x:c r="B31" s="4"/>
      <x:c r="C31" s="4"/>
    </x:row>
    <x:row r="32" ht="26" customHeight="1">
      <x:c r="A32" s="2"/>
      <x:c r="B32" s="2"/>
      <x:c r="C32" s="2"/>
    </x:row>
    <x:row r="33" ht="26" customHeight="1">
      <x:c r="A33" s="12" t="str">
        <x:v>Quellenversionen</x:v>
      </x:c>
      <x:c r="B33" s="12" t="str">
        <x:v>Leistungsstufen A1; A1-Pläne und Flächenberechnung vom 11.08.2026. Planstände und abweichende Adresse vor Website-Einbau zusammenführen.</x:v>
      </x:c>
      <x:c r="C33" s="12"/>
    </x:row>
    <x:row r="34" ht="26" customHeight="1">
      <x:c r="A34" s="12"/>
      <x:c r="B34" s="12"/>
      <x:c r="C34" s="12"/>
    </x:row>
    <x:row r="35" ht="26" customHeight="1">
      <x:c r="A35" s="2"/>
      <x:c r="B35" s="2"/>
      <x:c r="C35" s="2"/>
    </x:row>
    <x:row r="36" ht="26" customHeight="1">
      <x:c r="A36" s="12" t="str">
        <x:v>Budgetabgrenzung</x:v>
      </x:c>
      <x:c r="B36" s="12" t="str">
        <x:v>Finanzierungskosten sind keine Miete. Tilgung baut Vermögen auf; Instandhaltung, Objektkosten und Vergleichsmieten müssen vollständig und auf gleicher Basis betrachtet werden.</x:v>
      </x:c>
      <x:c r="C36" s="12"/>
    </x:row>
    <x:row r="37" ht="26" customHeight="1">
      <x:c r="A37" s="12"/>
      <x:c r="B37" s="12"/>
      <x:c r="C37" s="12"/>
    </x:row>
    <x:row r="38" ht="26" customHeight="1">
      <x:c r="A38" s="2"/>
      <x:c r="B38" s="2"/>
      <x:c r="C38" s="2"/>
    </x:row>
    <x:row r="39" ht="26" customHeight="1">
      <x:c r="A39" s="12" t="str">
        <x:v>CI / Prüfung</x:v>
      </x:c>
      <x:c r="B39" s="12" t="str">
        <x:v>SABO CI und feste Codes 2, 3, 6, 7, 14, 21, 23, 25, 27, 28, 30, 31, 33, 50, 51, 52. Formeln und Beispielwerte geprüft.</x:v>
      </x:c>
      <x:c r="C39" s="12"/>
    </x:row>
    <x:row r="40" ht="26" customHeight="1">
      <x:c r="A40" s="12"/>
      <x:c r="B40" s="12"/>
      <x:c r="C40" s="12"/>
    </x:row>
    <x:row r="41" ht="26" customHeight="1">
      <x:c r="A41" s="2"/>
      <x:c r="B41" s="2"/>
      <x:c r="C41" s="2"/>
    </x:row>
    <x:row r="42" ht="26" customHeight="1">
      <x:c r="A42" s="2"/>
      <x:c r="B42" s="2"/>
      <x:c r="C42" s="2"/>
    </x:row>
    <x:row r="43" ht="26" customHeight="1">
      <x:c r="A43" s="2"/>
      <x:c r="B43" s="2"/>
      <x:c r="C43" s="2"/>
    </x:row>
    <x:row r="44" ht="26" customHeight="1">
      <x:c r="A44" s="2"/>
      <x:c r="B44" s="2"/>
      <x:c r="C44" s="2"/>
    </x:row>
    <x:row r="45" ht="26" customHeight="1">
      <x:c r="A45" s="2"/>
      <x:c r="B45" s="2"/>
      <x:c r="C45" s="2"/>
    </x:row>
    <x:row r="46" ht="26" customHeight="1">
      <x:c r="A46" s="2"/>
      <x:c r="B46" s="2"/>
      <x:c r="C46" s="2"/>
    </x:row>
    <x:row r="47" ht="26" customHeight="1">
      <x:c r="A47" s="2"/>
      <x:c r="B47" s="2"/>
      <x:c r="C47" s="2"/>
    </x:row>
    <x:row r="48" ht="26" customHeight="1">
      <x:c r="A48" s="2"/>
      <x:c r="B48" s="2"/>
      <x:c r="C48" s="2"/>
    </x:row>
    <x:row r="49" ht="26" customHeight="1">
      <x:c r="A49" s="2"/>
      <x:c r="B49" s="2"/>
      <x:c r="C49" s="2"/>
    </x:row>
    <x:row r="50" ht="26" customHeight="1">
      <x:c r="A50" s="2"/>
      <x:c r="B50" s="2"/>
      <x:c r="C50" s="2"/>
    </x:row>
    <x:row r="51" ht="26" customHeight="1">
      <x:c r="A51" s="2"/>
      <x:c r="B51" s="2"/>
      <x:c r="C51" s="2"/>
    </x:row>
    <x:row r="52" ht="26" customHeight="1">
      <x:c r="A52" s="2"/>
      <x:c r="B52" s="2"/>
      <x:c r="C52" s="2"/>
    </x:row>
    <x:row r="53" ht="26" customHeight="1">
      <x:c r="A53" s="2"/>
      <x:c r="B53" s="2"/>
      <x:c r="C53" s="2"/>
    </x:row>
    <x:row r="54" ht="26" customHeight="1">
      <x:c r="A54" s="2"/>
      <x:c r="B54" s="2"/>
      <x:c r="C54" s="2"/>
    </x:row>
    <x:row r="55" ht="26" customHeight="1">
      <x:c r="A55" s="2"/>
      <x:c r="B55" s="2"/>
      <x:c r="C55" s="2"/>
    </x:row>
    <x:row r="56" ht="26" customHeight="1">
      <x:c r="A56" s="2"/>
      <x:c r="B56" s="2"/>
      <x:c r="C56" s="2"/>
    </x:row>
    <x:row r="57" ht="26" customHeight="1">
      <x:c r="A57" s="2"/>
      <x:c r="B57" s="2"/>
      <x:c r="C57" s="2"/>
    </x:row>
    <x:row r="58" ht="26" customHeight="1">
      <x:c r="A58" s="2"/>
      <x:c r="B58" s="2"/>
      <x:c r="C58" s="2"/>
    </x:row>
    <x:row r="59" ht="26" customHeight="1">
      <x:c r="A59" s="2"/>
      <x:c r="B59" s="2"/>
      <x:c r="C59" s="2"/>
    </x:row>
    <x:row r="60" ht="26" customHeight="1">
      <x:c r="A60" s="2"/>
      <x:c r="B60" s="2"/>
      <x:c r="C60" s="2"/>
    </x:row>
    <x:row r="61" ht="26" customHeight="1">
      <x:c r="A61" s="2"/>
      <x:c r="B61" s="2"/>
      <x:c r="C61" s="2"/>
    </x:row>
    <x:row r="62" ht="26" customHeight="1">
      <x:c r="A62" s="2"/>
      <x:c r="B62" s="2"/>
      <x:c r="C62" s="2"/>
    </x:row>
    <x:row r="63" ht="26" customHeight="1">
      <x:c r="A63" s="2"/>
      <x:c r="B63" s="2"/>
      <x:c r="C63" s="2"/>
    </x:row>
    <x:row r="64" ht="26" customHeight="1">
      <x:c r="A64" s="2"/>
      <x:c r="B64" s="2"/>
      <x:c r="C64" s="2"/>
    </x:row>
    <x:row r="65" ht="26" customHeight="1">
      <x:c r="A65" s="2"/>
      <x:c r="B65" s="2"/>
      <x:c r="C65" s="2"/>
    </x:row>
  </x:sheetData>
  <x:mergeCells>
    <x:mergeCell ref="A1:B2"/>
    <x:mergeCell ref="A3:B3"/>
    <x:mergeCell ref="A4:B4"/>
    <x:mergeCell ref="B6:C7"/>
    <x:mergeCell ref="A6:A7"/>
    <x:mergeCell ref="B9:C10"/>
    <x:mergeCell ref="A9:A10"/>
    <x:mergeCell ref="B12:C13"/>
    <x:mergeCell ref="A12:A13"/>
    <x:mergeCell ref="B15:C16"/>
    <x:mergeCell ref="A15:A16"/>
    <x:mergeCell ref="B18:C19"/>
    <x:mergeCell ref="A18:A19"/>
    <x:mergeCell ref="B21:C22"/>
    <x:mergeCell ref="A21:A22"/>
    <x:mergeCell ref="B24:C25"/>
    <x:mergeCell ref="A24:A25"/>
    <x:mergeCell ref="B27:C28"/>
    <x:mergeCell ref="A27:A28"/>
    <x:mergeCell ref="B30:C31"/>
    <x:mergeCell ref="A30:A31"/>
    <x:mergeCell ref="B33:C34"/>
    <x:mergeCell ref="A33:A34"/>
    <x:mergeCell ref="B36:C37"/>
    <x:mergeCell ref="A36:A37"/>
    <x:mergeCell ref="B39:C40"/>
    <x:mergeCell ref="A39:A40"/>
  </x:mergeCells>
  <x:pageMargins left="0.7" right="0.7" top="0.75" bottom="0.75" header="0.3" footer="0.3"/>
  <x:drawing xmlns:r="http://schemas.openxmlformats.org/officeDocument/2006/relationships" r:id="R7fa893e7ba294dbf"/>
</x:worksheet>
</file>